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7.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8.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xhhs-my.sharepoint.com/personal/rose_nelson_hhs_texas_gov/Documents/Documents 1/Tool Revisions 2017 to 2020/Cooper Consultants Tool Revisions Kellye Prosise/PHCFCCAS Revisions 2024/Revised Tools/Posted Versions to Alfedo 02_07_2024/"/>
    </mc:Choice>
  </mc:AlternateContent>
  <xr:revisionPtr revIDLastSave="50" documentId="8_{360C5F11-58E9-4033-A7F9-56799357661E}" xr6:coauthVersionLast="47" xr6:coauthVersionMax="47" xr10:uidLastSave="{DE1C0345-C2EC-4E8C-8476-FE39BCBCB0E6}"/>
  <bookViews>
    <workbookView xWindow="-110" yWindow="-110" windowWidth="19420" windowHeight="10420" tabRatio="815" firstSheet="1" activeTab="1" xr2:uid="{00000000-000D-0000-FFFF-FFFF00000000}"/>
  </bookViews>
  <sheets>
    <sheet name="Data" sheetId="1" state="hidden" r:id="rId1"/>
    <sheet name="Monitoring Workbook" sheetId="2" r:id="rId2"/>
    <sheet name="IWP01" sheetId="3" r:id="rId3"/>
    <sheet name="IWP02" sheetId="4" r:id="rId4"/>
    <sheet name="IWP03" sheetId="5" r:id="rId5"/>
    <sheet name="IWP04" sheetId="6" r:id="rId6"/>
    <sheet name="IWP05" sheetId="7" r:id="rId7"/>
    <sheet name="IWP06" sheetId="8" r:id="rId8"/>
    <sheet name="IWP07" sheetId="9" r:id="rId9"/>
    <sheet name="IWP08" sheetId="10" r:id="rId10"/>
    <sheet name="AFC Compliance Summary (Print)" sheetId="11" r:id="rId11"/>
    <sheet name="OHR Compliance Summary (Print)" sheetId="12" state="hidden" r:id="rId12"/>
    <sheet name="AFC Indiv. Fund Summary (Print)" sheetId="13" r:id="rId13"/>
    <sheet name="Instructions_AFC Reimbursement" sheetId="14" r:id="rId14"/>
    <sheet name="AFC Reimbursement" sheetId="15" r:id="rId15"/>
    <sheet name="Instructions_OHR Reimbursement" sheetId="16" state="hidden" r:id="rId16"/>
    <sheet name="OHR Reimbursement" sheetId="17" state="hidden" r:id="rId17"/>
    <sheet name="Demand for Pmt. Notice (Print)" sheetId="18" r:id="rId18"/>
    <sheet name="Samples (Print)" sheetId="19" r:id="rId19"/>
    <sheet name="Notes (Print)" sheetId="20" r:id="rId20"/>
  </sheets>
  <definedNames>
    <definedName name="AfcAuthToMngMoney" localSheetId="12">'AFC Indiv. Fund Summary (Print)'!$B$12:$D$15</definedName>
    <definedName name="BnkChgsFcltyChcIndvTrstFndAcct" localSheetId="12">'AFC Indiv. Fund Summary (Print)'!$B$53:$G$60</definedName>
    <definedName name="BnkChgsPldTrstFndAcct" localSheetId="12">'AFC Indiv. Fund Summary (Print)'!$B$44:$G$51</definedName>
    <definedName name="CBAAFCcontractNumber" localSheetId="3">'Monitoring Workbook'!#REF!</definedName>
    <definedName name="CBAAFCcontractNumber" localSheetId="4">'Monitoring Workbook'!#REF!</definedName>
    <definedName name="CBAAFCcontractNumber" localSheetId="5">'Monitoring Workbook'!#REF!</definedName>
    <definedName name="CBAAFCcontractNumber" localSheetId="6">'Monitoring Workbook'!#REF!</definedName>
    <definedName name="CBAAFCcontractNumber" localSheetId="7">'Monitoring Workbook'!#REF!</definedName>
    <definedName name="CBAAFCcontractNumber" localSheetId="8">'Monitoring Workbook'!#REF!</definedName>
    <definedName name="CBAAFCcontractNumber" localSheetId="9">'Monitoring Workbook'!#REF!</definedName>
    <definedName name="CBAAFCcontractNumber">'Monitoring Workbook'!#REF!</definedName>
    <definedName name="CBAOHRcontractNumber">'Monitoring Workbook'!$H$7</definedName>
    <definedName name="CCADAFCcontractNumber">'Monitoring Workbook'!$C$7</definedName>
    <definedName name="Checks_And_Deposits">'Monitoring Workbook'!$A$232:$O$261</definedName>
    <definedName name="ClientFirstName" localSheetId="2">'IWP01'!$T$6</definedName>
    <definedName name="ClientFirstName" localSheetId="3">'IWP02'!$T$6</definedName>
    <definedName name="ClientFirstName" localSheetId="4">'IWP03'!$T$6</definedName>
    <definedName name="ClientFirstName" localSheetId="5">'IWP04'!$T$6</definedName>
    <definedName name="ClientFirstName" localSheetId="6">'IWP05'!$T$6</definedName>
    <definedName name="ClientFirstName" localSheetId="7">'IWP06'!$T$6</definedName>
    <definedName name="ClientFirstName" localSheetId="8">'IWP07'!$T$6</definedName>
    <definedName name="ClientFirstName" localSheetId="9">'IWP08'!$T$6</definedName>
    <definedName name="ClientID" localSheetId="2">'IWP01'!$T$2</definedName>
    <definedName name="ClientID" localSheetId="3">'IWP02'!$T$2</definedName>
    <definedName name="ClientID" localSheetId="4">'IWP03'!$T$2</definedName>
    <definedName name="ClientID" localSheetId="5">'IWP04'!$T$2</definedName>
    <definedName name="ClientID" localSheetId="6">'IWP05'!$T$2</definedName>
    <definedName name="ClientID" localSheetId="7">'IWP06'!$T$2</definedName>
    <definedName name="ClientID" localSheetId="8">'IWP07'!$T$2</definedName>
    <definedName name="ClientID" localSheetId="9">'IWP08'!$T$2</definedName>
    <definedName name="ClientLastName" localSheetId="2">'IWP01'!$T$4</definedName>
    <definedName name="ClientLastName" localSheetId="3">'IWP02'!$T$4</definedName>
    <definedName name="ClientLastName" localSheetId="4">'IWP03'!$T$4</definedName>
    <definedName name="ClientLastName" localSheetId="5">'IWP04'!$T$4</definedName>
    <definedName name="ClientLastName" localSheetId="6">'IWP05'!$T$4</definedName>
    <definedName name="ClientLastName" localSheetId="7">'IWP06'!$T$4</definedName>
    <definedName name="ClientLastName" localSheetId="8">'IWP07'!$T$4</definedName>
    <definedName name="ClientLastName" localSheetId="9">'IWP08'!$T$4</definedName>
    <definedName name="CompletedByFirstName" localSheetId="2">'IWP01'!$D$4</definedName>
    <definedName name="CompletedByFirstName" localSheetId="3">'IWP02'!$D$4</definedName>
    <definedName name="CompletedByFirstName" localSheetId="4">'IWP03'!$D$4</definedName>
    <definedName name="CompletedByFirstName" localSheetId="5">'IWP04'!$D$4</definedName>
    <definedName name="CompletedByFirstName" localSheetId="6">'IWP05'!$D$4</definedName>
    <definedName name="CompletedByFirstName" localSheetId="7">'IWP06'!$D$4</definedName>
    <definedName name="CompletedByFirstName" localSheetId="8">'IWP07'!$D$4</definedName>
    <definedName name="CompletedByFirstName" localSheetId="9">'IWP08'!$D$4</definedName>
    <definedName name="CompletedByFirstName">'Monitoring Workbook'!$B$5</definedName>
    <definedName name="CompletedByLastName" localSheetId="2">'IWP01'!$D$3</definedName>
    <definedName name="CompletedByLastName" localSheetId="3">'IWP02'!$D$3</definedName>
    <definedName name="CompletedByLastName" localSheetId="4">'IWP03'!$D$3</definedName>
    <definedName name="CompletedByLastName" localSheetId="5">'IWP04'!$D$3</definedName>
    <definedName name="CompletedByLastName" localSheetId="6">'IWP05'!$D$3</definedName>
    <definedName name="CompletedByLastName" localSheetId="7">'IWP06'!$D$3</definedName>
    <definedName name="CompletedByLastName" localSheetId="8">'IWP07'!$D$3</definedName>
    <definedName name="CompletedByLastName" localSheetId="9">'IWP08'!$D$3</definedName>
    <definedName name="CompletedByLastName">'Monitoring Workbook'!$B$4</definedName>
    <definedName name="ContractNumber" localSheetId="2">'IWP01'!$B$2</definedName>
    <definedName name="ContractNumber" localSheetId="3">'IWP02'!$B$2</definedName>
    <definedName name="ContractNumber" localSheetId="4">'IWP03'!$B$2</definedName>
    <definedName name="ContractNumber" localSheetId="5">'IWP04'!$B$2</definedName>
    <definedName name="ContractNumber" localSheetId="6">'IWP05'!$B$2</definedName>
    <definedName name="ContractNumber" localSheetId="7">'IWP06'!$B$2</definedName>
    <definedName name="ContractNumber" localSheetId="8">'IWP07'!$B$2</definedName>
    <definedName name="ContractNumber" localSheetId="9">'IWP08'!$B$2</definedName>
    <definedName name="ContractNumbers" localSheetId="0">Data!$A$6:$B$9</definedName>
    <definedName name="ContractType" localSheetId="2">'IWP01'!$D$2</definedName>
    <definedName name="ContractType" localSheetId="3">'IWP02'!$D$2</definedName>
    <definedName name="ContractType" localSheetId="4">'IWP03'!$D$2</definedName>
    <definedName name="ContractType" localSheetId="5">'IWP04'!$D$2</definedName>
    <definedName name="ContractType" localSheetId="6">'IWP05'!$D$2</definedName>
    <definedName name="ContractType" localSheetId="7">'IWP06'!$D$2</definedName>
    <definedName name="ContractType" localSheetId="8">'IWP07'!$D$2</definedName>
    <definedName name="ContractType" localSheetId="9">'IWP08'!$D$2</definedName>
    <definedName name="CoPyRfndCrdtDueHsptlzdIndv" localSheetId="12">'AFC Indiv. Fund Summary (Print)'!$B$120:$E$127</definedName>
    <definedName name="DateCompleted" localSheetId="2">'IWP01'!$H$4</definedName>
    <definedName name="DateCompleted" localSheetId="3">'IWP02'!$H$4</definedName>
    <definedName name="DateCompleted" localSheetId="4">'IWP03'!$H$4</definedName>
    <definedName name="DateCompleted" localSheetId="5">'IWP04'!$H$4</definedName>
    <definedName name="DateCompleted" localSheetId="6">'IWP05'!$H$4</definedName>
    <definedName name="DateCompleted" localSheetId="7">'IWP06'!$H$4</definedName>
    <definedName name="DateCompleted" localSheetId="8">'IWP07'!$H$4</definedName>
    <definedName name="DateCompleted" localSheetId="9">'IWP08'!$H$4</definedName>
    <definedName name="DateOfEntrance">'Monitoring Workbook'!$C$5</definedName>
    <definedName name="DateOfExit">'Monitoring Workbook'!$E$5</definedName>
    <definedName name="DateOfMonitoringPeriodBegin">'Samples (Print)'!$B$2</definedName>
    <definedName name="DateOfMonitoringPeriodEnd">'Samples (Print)'!$D$2</definedName>
    <definedName name="DateOfReviewBegin" localSheetId="2">'IWP01'!$G$2</definedName>
    <definedName name="DateOfReviewBegin" localSheetId="3">'IWP02'!$G$2</definedName>
    <definedName name="DateOfReviewBegin" localSheetId="4">'IWP03'!$G$2</definedName>
    <definedName name="DateOfReviewBegin" localSheetId="5">'IWP04'!$G$2</definedName>
    <definedName name="DateOfReviewBegin" localSheetId="6">'IWP05'!$G$2</definedName>
    <definedName name="DateOfReviewBegin" localSheetId="7">'IWP06'!$G$2</definedName>
    <definedName name="DateOfReviewBegin" localSheetId="8">'IWP07'!$G$2</definedName>
    <definedName name="DateOfReviewBegin" localSheetId="9">'IWP08'!$G$2</definedName>
    <definedName name="DateOfReviewEnd" localSheetId="2">'IWP01'!$I$2</definedName>
    <definedName name="DateOfReviewEnd" localSheetId="3">'IWP02'!$I$2</definedName>
    <definedName name="DateOfReviewEnd" localSheetId="4">'IWP03'!$I$2</definedName>
    <definedName name="DateOfReviewEnd" localSheetId="5">'IWP04'!$I$2</definedName>
    <definedName name="DateOfReviewEnd" localSheetId="6">'IWP05'!$I$2</definedName>
    <definedName name="DateOfReviewEnd" localSheetId="7">'IWP06'!$I$2</definedName>
    <definedName name="DateOfReviewEnd" localSheetId="8">'IWP07'!$I$2</definedName>
    <definedName name="DateOfReviewEnd" localSheetId="9">'IWP08'!$I$2</definedName>
    <definedName name="DateOfRevisedExit">'Monitoring Workbook'!$G$5</definedName>
    <definedName name="Deposits_In_Transit">'Monitoring Workbook'!$A$265:$L$294</definedName>
    <definedName name="DpstsIndvTrstFndOrPtyCshAcct" localSheetId="12">'AFC Indiv. Fund Summary (Print)'!$B$72:$E$79</definedName>
    <definedName name="DpstsPldTrstFndAcct" localSheetId="12">'AFC Indiv. Fund Summary (Print)'!$B$63:$E$70</definedName>
    <definedName name="FiscalReviewFirstMonth" localSheetId="2">'IWP01'!$K$2</definedName>
    <definedName name="FiscalReviewFirstMonth" localSheetId="3">'IWP02'!$K$2</definedName>
    <definedName name="FiscalReviewFirstMonth" localSheetId="4">'IWP03'!$K$2</definedName>
    <definedName name="FiscalReviewFirstMonth" localSheetId="5">'IWP04'!$K$2</definedName>
    <definedName name="FiscalReviewFirstMonth" localSheetId="6">'IWP05'!$K$2</definedName>
    <definedName name="FiscalReviewFirstMonth" localSheetId="7">'IWP06'!$K$2</definedName>
    <definedName name="FiscalReviewFirstMonth" localSheetId="8">'IWP07'!$K$2</definedName>
    <definedName name="FiscalReviewFirstMonth" localSheetId="9">'IWP08'!$K$2</definedName>
    <definedName name="FiscalReviewSecondMonth" localSheetId="2">'IWP01'!$M$2</definedName>
    <definedName name="FiscalReviewSecondMonth" localSheetId="3">'IWP02'!$M$2</definedName>
    <definedName name="FiscalReviewSecondMonth" localSheetId="4">'IWP03'!$M$2</definedName>
    <definedName name="FiscalReviewSecondMonth" localSheetId="5">'IWP04'!$M$2</definedName>
    <definedName name="FiscalReviewSecondMonth" localSheetId="6">'IWP05'!$M$2</definedName>
    <definedName name="FiscalReviewSecondMonth" localSheetId="7">'IWP06'!$M$2</definedName>
    <definedName name="FiscalReviewSecondMonth" localSheetId="8">'IWP07'!$M$2</definedName>
    <definedName name="FiscalReviewSecondMonth" localSheetId="9">'IWP08'!$M$2</definedName>
    <definedName name="IndvPtyCshFndRcncltn" localSheetId="12">'AFC Indiv. Fund Summary (Print)'!$B$21:$J$24</definedName>
    <definedName name="IndvTrstFndRcncltn" localSheetId="12">'AFC Indiv. Fund Summary (Print)'!$B$30:$J$33</definedName>
    <definedName name="Iwp9dot1DepstInTransit" localSheetId="2">'IWP01'!$I$103:$K$112</definedName>
    <definedName name="Iwp9dot1DepstInTransit" localSheetId="3">'IWP02'!$I$103:$K$112</definedName>
    <definedName name="Iwp9dot1DepstInTransit" localSheetId="4">'IWP03'!$I$103:$K$112</definedName>
    <definedName name="Iwp9dot1DepstInTransit" localSheetId="5">'IWP04'!$I$103:$K$112</definedName>
    <definedName name="Iwp9dot1DepstInTransit" localSheetId="6">'IWP05'!$I$103:$K$112</definedName>
    <definedName name="Iwp9dot1DepstInTransit" localSheetId="7">'IWP06'!$I$103:$K$112</definedName>
    <definedName name="Iwp9dot1DepstInTransit" localSheetId="8">'IWP07'!$I$103:$K$112</definedName>
    <definedName name="Iwp9dot1DepstInTransit" localSheetId="9">'IWP08'!$I$103:$K$112</definedName>
    <definedName name="Iwp9dot1OutstdChks" localSheetId="2">'IWP01'!$A$103:$H$112</definedName>
    <definedName name="Iwp9dot1OutstdChks" localSheetId="3">'IWP02'!$A$103:$H$112</definedName>
    <definedName name="Iwp9dot1OutstdChks" localSheetId="4">'IWP03'!$A$103:$H$112</definedName>
    <definedName name="Iwp9dot1OutstdChks" localSheetId="5">'IWP04'!$A$103:$H$112</definedName>
    <definedName name="Iwp9dot1OutstdChks" localSheetId="6">'IWP05'!$A$103:$H$112</definedName>
    <definedName name="Iwp9dot1OutstdChks" localSheetId="7">'IWP06'!$A$103:$H$112</definedName>
    <definedName name="Iwp9dot1OutstdChks" localSheetId="8">'IWP07'!$A$103:$H$112</definedName>
    <definedName name="Iwp9dot1OutstdChks" localSheetId="9">'IWP08'!$A$103:$H$112</definedName>
    <definedName name="MINVALDBL">-99999.99</definedName>
    <definedName name="NameOfLegalEntity">'Monitoring Workbook'!$A$2</definedName>
    <definedName name="OvrCollRmBdCoPayBdHld" localSheetId="12">'AFC Indiv. Fund Summary (Print)'!$B$111:$E$118</definedName>
    <definedName name="PldPtyCshFndRcncltn" localSheetId="12">'AFC Indiv. Fund Summary (Print)'!$B$17:$D$18</definedName>
    <definedName name="PldTrstFndAcctRcncltn" localSheetId="12">'AFC Indiv. Fund Summary (Print)'!$B$26:$D$27</definedName>
    <definedName name="_xlnm.Print_Area" localSheetId="17">'Demand for Pmt. Notice (Print)'!$A$1:$K$1017</definedName>
    <definedName name="_xlnm.Print_Area" localSheetId="19">'Notes (Print)'!$A$1:$L$29</definedName>
    <definedName name="_xlnm.Print_Titles" localSheetId="12">'AFC Indiv. Fund Summary (Print)'!$1:$8</definedName>
    <definedName name="_xlnm.Print_Titles" localSheetId="14">'AFC Reimbursement'!$1:$7</definedName>
    <definedName name="_xlnm.Print_Titles" localSheetId="17">'Demand for Pmt. Notice (Print)'!$1:$7</definedName>
    <definedName name="_xlnm.Print_Titles" localSheetId="2">'IWP01'!$1:$4</definedName>
    <definedName name="_xlnm.Print_Titles" localSheetId="3">'IWP02'!$1:$4</definedName>
    <definedName name="_xlnm.Print_Titles" localSheetId="4">'IWP03'!$1:$4</definedName>
    <definedName name="_xlnm.Print_Titles" localSheetId="5">'IWP04'!$1:$4</definedName>
    <definedName name="_xlnm.Print_Titles" localSheetId="6">'IWP05'!$1:$4</definedName>
    <definedName name="_xlnm.Print_Titles" localSheetId="7">'IWP06'!$1:$4</definedName>
    <definedName name="_xlnm.Print_Titles" localSheetId="8">'IWP07'!$1:$4</definedName>
    <definedName name="_xlnm.Print_Titles" localSheetId="9">'IWP08'!$1:$4</definedName>
    <definedName name="_xlnm.Print_Titles" localSheetId="1">'Monitoring Workbook'!$1:$7</definedName>
    <definedName name="PrrtdIntPldTrstFndAcct" localSheetId="12">'AFC Indiv. Fund Summary (Print)'!$B$35:$G$42</definedName>
    <definedName name="ReviewLevel">'Monitoring Workbook'!$G$2</definedName>
    <definedName name="ReviewType">'Monitoring Workbook'!$I$2</definedName>
    <definedName name="SampleNumber" localSheetId="2">'IWP01'!$A$2</definedName>
    <definedName name="SampleNumber" localSheetId="3">'IWP02'!$A$2</definedName>
    <definedName name="SampleNumber" localSheetId="4">'IWP03'!$A$2</definedName>
    <definedName name="SampleNumber" localSheetId="5">'IWP04'!$A$2</definedName>
    <definedName name="SampleNumber" localSheetId="6">'IWP05'!$A$2</definedName>
    <definedName name="SampleNumber" localSheetId="7">'IWP06'!$A$2</definedName>
    <definedName name="SampleNumber" localSheetId="8">'IWP07'!$A$2</definedName>
    <definedName name="SampleNumber" localSheetId="9">'IWP08'!$A$2</definedName>
    <definedName name="SpreadsheetInfo" localSheetId="0">Data!$A$2:$C$3</definedName>
    <definedName name="Standard_I_1">'Monitoring Workbook'!$J$11</definedName>
    <definedName name="Standard_I_1_Comments">'Monitoring Workbook'!$B$16</definedName>
    <definedName name="Standard_I_2a">'Monitoring Workbook'!$J$18</definedName>
    <definedName name="Standard_I_2a_Comments">'Monitoring Workbook'!$B$24</definedName>
    <definedName name="Standard_I_2b">'Monitoring Workbook'!$J$27</definedName>
    <definedName name="Standard_I_2b_Comments">'Monitoring Workbook'!$B$28</definedName>
    <definedName name="Standard_I_3">'Monitoring Workbook'!$J$31</definedName>
    <definedName name="Standard_I_3_Comments">'Monitoring Workbook'!$B$36</definedName>
    <definedName name="Standard_I_4">'Monitoring Workbook'!$J$38</definedName>
    <definedName name="Standard_I_4_Comments">'Monitoring Workbook'!$B$43</definedName>
    <definedName name="Standard_I_Comments">'Monitoring Workbook'!$B$44</definedName>
    <definedName name="Standard_I_Total_No">'Monitoring Workbook'!$I$45</definedName>
    <definedName name="Standard_I_Total_Yes">'Monitoring Workbook'!$G$45</definedName>
    <definedName name="Standard_II_1_Answers" localSheetId="1">'Monitoring Workbook'!$F$48:$J$58</definedName>
    <definedName name="Standard_II_1_Comments">'Monitoring Workbook'!$B$59</definedName>
    <definedName name="Standard_II_1_Number_No">'Monitoring Workbook'!$I$60</definedName>
    <definedName name="Standard_II_1_Number_Yes">'Monitoring Workbook'!$G$60</definedName>
    <definedName name="Standard_II_2_Answers" localSheetId="1">'Monitoring Workbook'!$F$62:$J$72</definedName>
    <definedName name="Standard_II_2_Comments">'Monitoring Workbook'!$B$73</definedName>
    <definedName name="Standard_II_2_Number_No">'Monitoring Workbook'!$I$74</definedName>
    <definedName name="Standard_II_2_Number_Yes">'Monitoring Workbook'!$G$74</definedName>
    <definedName name="Standard_II_Total_No">'Monitoring Workbook'!$I$76</definedName>
    <definedName name="Standard_II_Total_Yes">'Monitoring Workbook'!$G$76</definedName>
    <definedName name="Standard_III_1_Comments">'Monitoring Workbook'!$B$91</definedName>
    <definedName name="Standard_III_2_Comments">'Monitoring Workbook'!$B$105</definedName>
    <definedName name="Standard_III_2_Number_No">'Monitoring Workbook'!$I$106</definedName>
    <definedName name="Standard_III_2_Number_Yes">'Monitoring Workbook'!$G$106</definedName>
    <definedName name="Standard_III_3_Comments">'Monitoring Workbook'!$B$119</definedName>
    <definedName name="Standard_III_3_Number_No">'Monitoring Workbook'!$I$120</definedName>
    <definedName name="Standard_III_3_Number_Yes">'Monitoring Workbook'!$G$120</definedName>
    <definedName name="Standard_III_4_Comments">'Monitoring Workbook'!$B$133</definedName>
    <definedName name="Standard_III_4_Number_No">'Monitoring Workbook'!$I$134</definedName>
    <definedName name="Standard_III_4_Number_Yes">'Monitoring Workbook'!$G$134</definedName>
    <definedName name="Standard_III_I_Number_No">'Monitoring Workbook'!$I$92</definedName>
    <definedName name="Standard_III_I_Number_Yes">'Monitoring Workbook'!$G$92</definedName>
    <definedName name="Standard_III_Total_No">'Monitoring Workbook'!$I$136</definedName>
    <definedName name="Standard_III_Total_Yes">'Monitoring Workbook'!$G$136</definedName>
    <definedName name="Standard_IV_1_Comments">'Monitoring Workbook'!$B$151</definedName>
    <definedName name="Standard_IV_Total_No">'Monitoring Workbook'!$I$152</definedName>
    <definedName name="Standard_IV_Total_Yes">'Monitoring Workbook'!$G$152</definedName>
    <definedName name="Standard_IX_1_Comments">'Monitoring Workbook'!$B$369</definedName>
    <definedName name="Standard_IX_Total_No">'Monitoring Workbook'!$I$370</definedName>
    <definedName name="Standard_IX_Total_Yes">'Monitoring Workbook'!$G$370</definedName>
    <definedName name="Standard_V_I_Comments">'Monitoring Workbook'!$B$167</definedName>
    <definedName name="Standard_V_Total_No">'Monitoring Workbook'!$I$168</definedName>
    <definedName name="Standard_V_Total_Yes">'Monitoring Workbook'!$G$168</definedName>
    <definedName name="Standard_VI">'Monitoring Workbook'!$I$193</definedName>
    <definedName name="Standard_VI_1_Comments">'Monitoring Workbook'!$B$197</definedName>
    <definedName name="Standard_VI_1_NotCalc">'Monitoring Workbook'!$I$173</definedName>
    <definedName name="Standard_VI_1f">'Monitoring Workbook'!$I$191</definedName>
    <definedName name="Standard_VII_1_Comments">'Monitoring Workbook'!$B$213</definedName>
    <definedName name="Standard_VII_Total_No">'Monitoring Workbook'!$I$214</definedName>
    <definedName name="Standard_VII_Total_Yes">'Monitoring Workbook'!$G$214</definedName>
    <definedName name="Standard_VIII">'Monitoring Workbook'!$I$347</definedName>
    <definedName name="Standard_VIII_1_Comments">'Monitoring Workbook'!$B$353</definedName>
    <definedName name="Standard_VIII_1a_NotCalc">'Monitoring Workbook'!$I$218</definedName>
    <definedName name="Standard_VIII_1b_NotCalc">'Monitoring Workbook'!$I$222</definedName>
    <definedName name="Standard_VIII_1m">'Monitoring Workbook'!$I$344</definedName>
    <definedName name="Standard_VIII_1n">'Monitoring Workbook'!$I$345</definedName>
    <definedName name="Standard_X_1_Comments">'Monitoring Workbook'!$B$386</definedName>
    <definedName name="Standard_X_1_Number_No">'Monitoring Workbook'!$I$387</definedName>
    <definedName name="Standard_X_1_Number_Yes">'Monitoring Workbook'!$G$387</definedName>
    <definedName name="Standard_X_2_Comments">'Monitoring Workbook'!$B$400</definedName>
    <definedName name="Standard_X_2_Number_No">'Monitoring Workbook'!$I$401</definedName>
    <definedName name="Standard_X_2_Number_Yes">'Monitoring Workbook'!$G$401</definedName>
    <definedName name="Standard_X_3_Comments">'Monitoring Workbook'!$B$414</definedName>
    <definedName name="Standard_X_3_Number_No">'Monitoring Workbook'!$I$415</definedName>
    <definedName name="Standard_X_3_Number_Yes">'Monitoring Workbook'!$G$415</definedName>
    <definedName name="Standard_X_4_Comments">'Monitoring Workbook'!$B$428</definedName>
    <definedName name="Standard_X_4_Number_No">'Monitoring Workbook'!$I$429</definedName>
    <definedName name="Standard_X_4_Number_Yes">'Monitoring Workbook'!$G$429</definedName>
    <definedName name="Standard_X_5_Comments">'Monitoring Workbook'!$B$442</definedName>
    <definedName name="Standard_X_5_Number_No">'Monitoring Workbook'!$I$443</definedName>
    <definedName name="Standard_X_5_Number_Yes">'Monitoring Workbook'!$G$443</definedName>
    <definedName name="Standard_X_6_Comments">'Monitoring Workbook'!$B$456</definedName>
    <definedName name="Standard_X_6_Number_No">'Monitoring Workbook'!$I$457</definedName>
    <definedName name="Standard_X_6_Number_Yes">'Monitoring Workbook'!$G$457</definedName>
    <definedName name="Standard_X_Total_No">'Monitoring Workbook'!$I$459</definedName>
    <definedName name="Standard_X_Total_Yes">'Monitoring Workbook'!$G$459</definedName>
    <definedName name="Standard_XI_1_Comments">'Monitoring Workbook'!$A$476</definedName>
    <definedName name="Standard_XI_1_Number_No">'Monitoring Workbook'!$I$476</definedName>
    <definedName name="Standard_XI_1_Number_Yes">'Monitoring Workbook'!$G$476</definedName>
    <definedName name="Standard_XI_2_Comments">'Monitoring Workbook'!$B$490</definedName>
    <definedName name="Standard_XI_2_Number_No">'Monitoring Workbook'!$I$491</definedName>
    <definedName name="Standard_XI_2_Number_Yes">'Monitoring Workbook'!$G$491</definedName>
    <definedName name="Standard_XI_3_Comments">'Monitoring Workbook'!$B$504</definedName>
    <definedName name="Standard_XI_3_Number_No">'Monitoring Workbook'!$I$505</definedName>
    <definedName name="Standard_XI_3_Number_Yes">'Monitoring Workbook'!$G$505</definedName>
    <definedName name="Standard_XI_4_Comments">'Monitoring Workbook'!$B$518</definedName>
    <definedName name="Standard_XI_4_Number_No">'Monitoring Workbook'!$I$519</definedName>
    <definedName name="Standard_XI_4_Number_Yes">'Monitoring Workbook'!$G$519</definedName>
    <definedName name="Standard_XI_Total_No">'Monitoring Workbook'!$I$521</definedName>
    <definedName name="Standard_XI_Total_Yes">'Monitoring Workbook'!$G$521</definedName>
    <definedName name="Std_VI_1_AdjustedBal">'Monitoring Workbook'!$J$185</definedName>
    <definedName name="Std_VI_1_Adjustments">'Monitoring Workbook'!$J$184</definedName>
    <definedName name="Std_VI_1_BalPettyCashLog">'Monitoring Workbook'!$J$183</definedName>
    <definedName name="Std_VI_1_CashOnHandDate">'Monitoring Workbook'!$E$181</definedName>
    <definedName name="Std_VI_1_CoinsTotal">'Monitoring Workbook'!$C$189</definedName>
    <definedName name="Std_VI_1_CurrencyTotal">'Monitoring Workbook'!$F$189</definedName>
    <definedName name="Std_VI_1_Dimes">'Monitoring Workbook'!$C$185</definedName>
    <definedName name="Std_VI_1_Dollars">'Monitoring Workbook'!$C$188</definedName>
    <definedName name="Std_VI_1_Fifties">'Monitoring Workbook'!$F$187</definedName>
    <definedName name="Std_VI_1_Fives">'Monitoring Workbook'!$F$184</definedName>
    <definedName name="Std_VI_1_HalfDollars">'Monitoring Workbook'!$C$187</definedName>
    <definedName name="Std_VI_1_Nickels">'Monitoring Workbook'!$C$184</definedName>
    <definedName name="Std_VI_1_Ones">'Monitoring Workbook'!$F$183</definedName>
    <definedName name="Std_VI_1_OtherCurrency">'Monitoring Workbook'!$F$188</definedName>
    <definedName name="Std_VI_1_Pennies">'Monitoring Workbook'!$C$183</definedName>
    <definedName name="Std_VI_1_PettyCashOnHand">'Monitoring Workbook'!$J$187</definedName>
    <definedName name="Std_VI_1_PettyCashOverShort">'Monitoring Workbook'!$J$188</definedName>
    <definedName name="Std_VI_1_Quarters">'Monitoring Workbook'!$C$186</definedName>
    <definedName name="Std_VI_1_Tens">'Monitoring Workbook'!$F$185</definedName>
    <definedName name="Std_VI_1_Twenties">'Monitoring Workbook'!$F$186</definedName>
    <definedName name="Std_VIII_AcctOverShort">'Monitoring Workbook'!$I$343</definedName>
    <definedName name="Std_VIII_AdjBalPerBank">'Monitoring Workbook'!$I$334</definedName>
    <definedName name="Std_VIII_AdjBalPerBooks">'Monitoring Workbook'!$I$342</definedName>
    <definedName name="Std_VIII_BalPerBooks">'Monitoring Workbook'!$I$338</definedName>
    <definedName name="Std_VIII_BalPerBooksDate">'Monitoring Workbook'!$G$338</definedName>
    <definedName name="Std_VIII_BankStmtBalance">'Monitoring Workbook'!$I$331</definedName>
    <definedName name="Std_VIII_BankStmtDate">'Monitoring Workbook'!$F$331</definedName>
    <definedName name="Std_VIII_NSFchecks">'Monitoring Workbook'!$I$341</definedName>
    <definedName name="Std_VIII_RecptsForDsbmnts">'Monitoring Workbook'!$I$340</definedName>
    <definedName name="Std_VIII_TotalDepositsInTransit">'Monitoring Workbook'!$K$295</definedName>
    <definedName name="Std_VIII_TotalOutstandingChecks">'Monitoring Workbook'!$N$262</definedName>
    <definedName name="Std_VIII_TotPtyCashOnHand">'Monitoring Workbook'!$I$335</definedName>
    <definedName name="Std_VIII_TotPtyCashOnHandDate">'Monitoring Workbook'!$F$335</definedName>
    <definedName name="Std_VIII_TrustFundTrialBalance">'Monitoring Workbook'!$H$329</definedName>
    <definedName name="Std_VIII_UnApplEarnedInt">'Monitoring Workbook'!$I$339</definedName>
    <definedName name="Std10dot1" localSheetId="2">'IWP01'!$J$130</definedName>
    <definedName name="Std10dot1" localSheetId="3">'IWP02'!$J$130</definedName>
    <definedName name="Std10dot1" localSheetId="4">'IWP03'!$J$130</definedName>
    <definedName name="Std10dot1" localSheetId="5">'IWP04'!$J$130</definedName>
    <definedName name="Std10dot1" localSheetId="6">'IWP05'!$J$130</definedName>
    <definedName name="Std10dot1" localSheetId="7">'IWP06'!$J$130</definedName>
    <definedName name="Std10dot1" localSheetId="8">'IWP07'!$J$130</definedName>
    <definedName name="Std10dot1" localSheetId="9">'IWP08'!$J$130</definedName>
    <definedName name="Std10dot1Date1" localSheetId="2">'IWP01'!$D$128</definedName>
    <definedName name="Std10dot1Date1" localSheetId="3">'IWP02'!$D$128</definedName>
    <definedName name="Std10dot1Date1" localSheetId="4">'IWP03'!$D$128</definedName>
    <definedName name="Std10dot1Date1" localSheetId="5">'IWP04'!$D$128</definedName>
    <definedName name="Std10dot1Date1" localSheetId="6">'IWP05'!$D$128</definedName>
    <definedName name="Std10dot1Date1" localSheetId="7">'IWP06'!$D$128</definedName>
    <definedName name="Std10dot1Date1" localSheetId="8">'IWP07'!$D$128</definedName>
    <definedName name="Std10dot1Date1" localSheetId="9">'IWP08'!$D$128</definedName>
    <definedName name="Std10dot1Date2" localSheetId="2">'IWP01'!$I$128</definedName>
    <definedName name="Std10dot1Date2" localSheetId="3">'IWP02'!$I$128</definedName>
    <definedName name="Std10dot1Date2" localSheetId="4">'IWP03'!$I$128</definedName>
    <definedName name="Std10dot1Date2" localSheetId="5">'IWP04'!$I$128</definedName>
    <definedName name="Std10dot1Date2" localSheetId="6">'IWP05'!$I$128</definedName>
    <definedName name="Std10dot1Date2" localSheetId="7">'IWP06'!$I$128</definedName>
    <definedName name="Std10dot1Date2" localSheetId="8">'IWP07'!$I$128</definedName>
    <definedName name="Std10dot1Date2" localSheetId="9">'IWP08'!$I$128</definedName>
    <definedName name="Std10dot1NotCalc" localSheetId="2">'IWP01'!$J$122</definedName>
    <definedName name="Std10dot1NotCalc" localSheetId="3">'IWP02'!$J$122</definedName>
    <definedName name="Std10dot1NotCalc" localSheetId="4">'IWP03'!$J$122</definedName>
    <definedName name="Std10dot1NotCalc" localSheetId="5">'IWP04'!$J$122</definedName>
    <definedName name="Std10dot1NotCalc" localSheetId="6">'IWP05'!$J$122</definedName>
    <definedName name="Std10dot1NotCalc" localSheetId="7">'IWP06'!$J$122</definedName>
    <definedName name="Std10dot1NotCalc" localSheetId="8">'IWP07'!$J$122</definedName>
    <definedName name="Std10dot1NotCalc" localSheetId="9">'IWP08'!$J$122</definedName>
    <definedName name="Std10dot1TotalAmt1" localSheetId="2">'IWP01'!$D$129</definedName>
    <definedName name="Std10dot1TotalAmt1" localSheetId="3">'IWP02'!$D$129</definedName>
    <definedName name="Std10dot1TotalAmt1" localSheetId="4">'IWP03'!$D$129</definedName>
    <definedName name="Std10dot1TotalAmt1" localSheetId="5">'IWP04'!$D$129</definedName>
    <definedName name="Std10dot1TotalAmt1" localSheetId="6">'IWP05'!$D$129</definedName>
    <definedName name="Std10dot1TotalAmt1" localSheetId="7">'IWP06'!$D$129</definedName>
    <definedName name="Std10dot1TotalAmt1" localSheetId="8">'IWP07'!$D$129</definedName>
    <definedName name="Std10dot1TotalAmt1" localSheetId="9">'IWP08'!$D$129</definedName>
    <definedName name="Std10dot1TotalAmt2" localSheetId="2">'IWP01'!$I$129</definedName>
    <definedName name="Std10dot1TotalAmt2" localSheetId="3">'IWP02'!$I$129</definedName>
    <definedName name="Std10dot1TotalAmt2" localSheetId="4">'IWP03'!$I$129</definedName>
    <definedName name="Std10dot1TotalAmt2" localSheetId="5">'IWP04'!$I$129</definedName>
    <definedName name="Std10dot1TotalAmt2" localSheetId="6">'IWP05'!$I$129</definedName>
    <definedName name="Std10dot1TotalAmt2" localSheetId="7">'IWP06'!$I$129</definedName>
    <definedName name="Std10dot1TotalAmt2" localSheetId="8">'IWP07'!$I$129</definedName>
    <definedName name="Std10dot1TotalAmt2" localSheetId="9">'IWP08'!$I$129</definedName>
    <definedName name="Std10dot2" localSheetId="2">'IWP01'!$J$142</definedName>
    <definedName name="Std10dot2" localSheetId="3">'IWP02'!$J$142</definedName>
    <definedName name="Std10dot2" localSheetId="4">'IWP03'!$J$142</definedName>
    <definedName name="Std10dot2" localSheetId="5">'IWP04'!$J$142</definedName>
    <definedName name="Std10dot2" localSheetId="6">'IWP05'!$J$142</definedName>
    <definedName name="Std10dot2" localSheetId="7">'IWP06'!$J$142</definedName>
    <definedName name="Std10dot2" localSheetId="8">'IWP07'!$J$142</definedName>
    <definedName name="Std10dot2" localSheetId="9">'IWP08'!$J$142</definedName>
    <definedName name="Std10dot2BankChgs1" localSheetId="2">'IWP01'!$D$141</definedName>
    <definedName name="Std10dot2BankChgs1" localSheetId="3">'IWP02'!$D$141</definedName>
    <definedName name="Std10dot2BankChgs1" localSheetId="4">'IWP03'!$D$141</definedName>
    <definedName name="Std10dot2BankChgs1" localSheetId="5">'IWP04'!$D$141</definedName>
    <definedName name="Std10dot2BankChgs1" localSheetId="6">'IWP05'!$D$141</definedName>
    <definedName name="Std10dot2BankChgs1" localSheetId="7">'IWP06'!$D$141</definedName>
    <definedName name="Std10dot2BankChgs1" localSheetId="8">'IWP07'!$D$141</definedName>
    <definedName name="Std10dot2BankChgs1" localSheetId="9">'IWP08'!$D$141</definedName>
    <definedName name="Std10dot2BankChgs2" localSheetId="2">'IWP01'!$I$141</definedName>
    <definedName name="Std10dot2BankChgs2" localSheetId="3">'IWP02'!$I$141</definedName>
    <definedName name="Std10dot2BankChgs2" localSheetId="4">'IWP03'!$I$141</definedName>
    <definedName name="Std10dot2BankChgs2" localSheetId="5">'IWP04'!$I$141</definedName>
    <definedName name="Std10dot2BankChgs2" localSheetId="6">'IWP05'!$I$141</definedName>
    <definedName name="Std10dot2BankChgs2" localSheetId="7">'IWP06'!$I$141</definedName>
    <definedName name="Std10dot2BankChgs2" localSheetId="8">'IWP07'!$I$141</definedName>
    <definedName name="Std10dot2BankChgs2" localSheetId="9">'IWP08'!$I$141</definedName>
    <definedName name="Std10dot2Date1" localSheetId="2">'IWP01'!$D$140</definedName>
    <definedName name="Std10dot2Date1" localSheetId="3">'IWP02'!$D$140</definedName>
    <definedName name="Std10dot2Date1" localSheetId="4">'IWP03'!$D$140</definedName>
    <definedName name="Std10dot2Date1" localSheetId="5">'IWP04'!$D$140</definedName>
    <definedName name="Std10dot2Date1" localSheetId="6">'IWP05'!$D$140</definedName>
    <definedName name="Std10dot2Date1" localSheetId="7">'IWP06'!$D$140</definedName>
    <definedName name="Std10dot2Date1" localSheetId="8">'IWP07'!$D$140</definedName>
    <definedName name="Std10dot2Date1" localSheetId="9">'IWP08'!$D$140</definedName>
    <definedName name="Std10dot2Date2" localSheetId="2">'IWP01'!$I$140</definedName>
    <definedName name="Std10dot2Date2" localSheetId="3">'IWP02'!$I$140</definedName>
    <definedName name="Std10dot2Date2" localSheetId="4">'IWP03'!$I$140</definedName>
    <definedName name="Std10dot2Date2" localSheetId="5">'IWP04'!$I$140</definedName>
    <definedName name="Std10dot2Date2" localSheetId="6">'IWP05'!$I$140</definedName>
    <definedName name="Std10dot2Date2" localSheetId="7">'IWP06'!$I$140</definedName>
    <definedName name="Std10dot2Date2" localSheetId="8">'IWP07'!$I$140</definedName>
    <definedName name="Std10dot2Date2" localSheetId="9">'IWP08'!$I$140</definedName>
    <definedName name="Std10dot2NotCalc" localSheetId="2">'IWP01'!$J$134</definedName>
    <definedName name="Std10dot2NotCalc" localSheetId="3">'IWP02'!$J$134</definedName>
    <definedName name="Std10dot2NotCalc" localSheetId="4">'IWP03'!$J$134</definedName>
    <definedName name="Std10dot2NotCalc" localSheetId="5">'IWP04'!$J$134</definedName>
    <definedName name="Std10dot2NotCalc" localSheetId="6">'IWP05'!$J$134</definedName>
    <definedName name="Std10dot2NotCalc" localSheetId="7">'IWP06'!$J$134</definedName>
    <definedName name="Std10dot2NotCalc" localSheetId="8">'IWP07'!$J$134</definedName>
    <definedName name="Std10dot2NotCalc" localSheetId="9">'IWP08'!$J$134</definedName>
    <definedName name="Std10dot3" localSheetId="2">'IWP01'!$J$165</definedName>
    <definedName name="Std10dot3" localSheetId="3">'IWP02'!$J$165</definedName>
    <definedName name="Std10dot3" localSheetId="4">'IWP03'!$J$165</definedName>
    <definedName name="Std10dot3" localSheetId="5">'IWP04'!$J$165</definedName>
    <definedName name="Std10dot3" localSheetId="6">'IWP05'!$J$165</definedName>
    <definedName name="Std10dot3" localSheetId="7">'IWP06'!$J$165</definedName>
    <definedName name="Std10dot3" localSheetId="8">'IWP07'!$J$165</definedName>
    <definedName name="Std10dot3" localSheetId="9">'IWP08'!$J$165</definedName>
    <definedName name="Std10dot3Deposits" localSheetId="2">'IWP01'!$A$155:$K$164</definedName>
    <definedName name="Std10dot3Deposits" localSheetId="3">'IWP02'!$A$155:$K$164</definedName>
    <definedName name="Std10dot3Deposits" localSheetId="4">'IWP03'!$A$155:$K$164</definedName>
    <definedName name="Std10dot3Deposits" localSheetId="5">'IWP04'!$A$155:$K$164</definedName>
    <definedName name="Std10dot3Deposits" localSheetId="6">'IWP05'!$A$155:$K$164</definedName>
    <definedName name="Std10dot3Deposits" localSheetId="7">'IWP06'!$A$155:$K$164</definedName>
    <definedName name="Std10dot3Deposits" localSheetId="8">'IWP07'!$A$155:$K$164</definedName>
    <definedName name="Std10dot3Deposits" localSheetId="9">'IWP08'!$A$155:$K$164</definedName>
    <definedName name="Std10dot3NotCalc" localSheetId="2">'IWP01'!$J$146</definedName>
    <definedName name="Std10dot3NotCalc" localSheetId="3">'IWP02'!$J$146</definedName>
    <definedName name="Std10dot3NotCalc" localSheetId="4">'IWP03'!$J$146</definedName>
    <definedName name="Std10dot3NotCalc" localSheetId="5">'IWP04'!$J$146</definedName>
    <definedName name="Std10dot3NotCalc" localSheetId="6">'IWP05'!$J$146</definedName>
    <definedName name="Std10dot3NotCalc" localSheetId="7">'IWP06'!$J$146</definedName>
    <definedName name="Std10dot3NotCalc" localSheetId="8">'IWP07'!$J$146</definedName>
    <definedName name="Std10dot3NotCalc" localSheetId="9">'IWP08'!$J$146</definedName>
    <definedName name="Std10dot4" localSheetId="2">'IWP01'!$J$200</definedName>
    <definedName name="Std10dot4" localSheetId="3">'IWP02'!$J$200</definedName>
    <definedName name="Std10dot4" localSheetId="4">'IWP03'!$J$200</definedName>
    <definedName name="Std10dot4" localSheetId="5">'IWP04'!$J$200</definedName>
    <definedName name="Std10dot4" localSheetId="6">'IWP05'!$J$200</definedName>
    <definedName name="Std10dot4" localSheetId="7">'IWP06'!$J$200</definedName>
    <definedName name="Std10dot4" localSheetId="8">'IWP07'!$J$200</definedName>
    <definedName name="Std10dot4" localSheetId="9">'IWP08'!$J$200</definedName>
    <definedName name="Std10dot4NotCalc" localSheetId="2">'IWP01'!$J$169</definedName>
    <definedName name="Std10dot4NotCalc" localSheetId="3">'IWP02'!$J$169</definedName>
    <definedName name="Std10dot4NotCalc" localSheetId="4">'IWP03'!$J$169</definedName>
    <definedName name="Std10dot4NotCalc" localSheetId="5">'IWP04'!$J$169</definedName>
    <definedName name="Std10dot4NotCalc" localSheetId="6">'IWP05'!$J$169</definedName>
    <definedName name="Std10dot4NotCalc" localSheetId="7">'IWP06'!$J$169</definedName>
    <definedName name="Std10dot4NotCalc" localSheetId="8">'IWP07'!$J$169</definedName>
    <definedName name="Std10dot4NotCalc" localSheetId="9">'IWP08'!$J$169</definedName>
    <definedName name="Std10dot4Withdrawals" localSheetId="2">'IWP01'!$A$180:$K$199</definedName>
    <definedName name="Std10dot4Withdrawals" localSheetId="3">'IWP02'!$A$180:$K$199</definedName>
    <definedName name="Std10dot4Withdrawals" localSheetId="4">'IWP03'!$A$180:$K$199</definedName>
    <definedName name="Std10dot4Withdrawals" localSheetId="5">'IWP04'!$A$180:$K$199</definedName>
    <definedName name="Std10dot4Withdrawals" localSheetId="6">'IWP05'!$A$180:$K$199</definedName>
    <definedName name="Std10dot4Withdrawals" localSheetId="7">'IWP06'!$A$180:$K$199</definedName>
    <definedName name="Std10dot4Withdrawals" localSheetId="8">'IWP07'!$A$180:$K$199</definedName>
    <definedName name="Std10dot4Withdrawals" localSheetId="9">'IWP08'!$A$180:$K$199</definedName>
    <definedName name="Std10dot5" localSheetId="2">'IWP01'!$J$220</definedName>
    <definedName name="Std10dot5" localSheetId="3">'IWP02'!$J$220</definedName>
    <definedName name="Std10dot5" localSheetId="4">'IWP03'!$J$220</definedName>
    <definedName name="Std10dot5" localSheetId="5">'IWP04'!$J$220</definedName>
    <definedName name="Std10dot5" localSheetId="6">'IWP05'!$J$220</definedName>
    <definedName name="Std10dot5" localSheetId="7">'IWP06'!$J$220</definedName>
    <definedName name="Std10dot5" localSheetId="8">'IWP07'!$J$220</definedName>
    <definedName name="Std10dot5" localSheetId="9">'IWP08'!$J$220</definedName>
    <definedName name="Std10dot5Withdrawals" localSheetId="2">'IWP01'!$A$210:$K$219</definedName>
    <definedName name="Std10dot5Withdrawals" localSheetId="3">'IWP02'!$A$210:$K$219</definedName>
    <definedName name="Std10dot5Withdrawals" localSheetId="4">'IWP03'!$A$210:$K$219</definedName>
    <definedName name="Std10dot5Withdrawals" localSheetId="5">'IWP04'!$A$210:$K$219</definedName>
    <definedName name="Std10dot5Withdrawals" localSheetId="6">'IWP05'!$A$210:$K$219</definedName>
    <definedName name="Std10dot5Withdrawals" localSheetId="7">'IWP06'!$A$210:$K$219</definedName>
    <definedName name="Std10dot5Withdrawals" localSheetId="8">'IWP07'!$A$210:$K$219</definedName>
    <definedName name="Std10dot5Withdrawals" localSheetId="9">'IWP08'!$A$210:$K$219</definedName>
    <definedName name="Std10dot6" localSheetId="2">'IWP01'!$J$233</definedName>
    <definedName name="Std10dot6" localSheetId="3">'IWP02'!$J$233</definedName>
    <definedName name="Std10dot6" localSheetId="4">'IWP03'!$J$233</definedName>
    <definedName name="Std10dot6" localSheetId="5">'IWP04'!$J$233</definedName>
    <definedName name="Std10dot6" localSheetId="6">'IWP05'!$J$233</definedName>
    <definedName name="Std10dot6" localSheetId="7">'IWP06'!$J$233</definedName>
    <definedName name="Std10dot6" localSheetId="8">'IWP07'!$J$233</definedName>
    <definedName name="Std10dot6" localSheetId="9">'IWP08'!$J$233</definedName>
    <definedName name="Std10dot6a" localSheetId="2">'IWP01'!$J$230</definedName>
    <definedName name="Std10dot6a" localSheetId="3">'IWP02'!$J$230</definedName>
    <definedName name="Std10dot6a" localSheetId="4">'IWP03'!$J$230</definedName>
    <definedName name="Std10dot6a" localSheetId="5">'IWP04'!$J$230</definedName>
    <definedName name="Std10dot6a" localSheetId="6">'IWP05'!$J$230</definedName>
    <definedName name="Std10dot6a" localSheetId="7">'IWP06'!$J$230</definedName>
    <definedName name="Std10dot6a" localSheetId="8">'IWP07'!$J$230</definedName>
    <definedName name="Std10dot6a" localSheetId="9">'IWP08'!$J$230</definedName>
    <definedName name="Std10dot6b" localSheetId="2">'IWP01'!$J$231</definedName>
    <definedName name="Std10dot6b" localSheetId="3">'IWP02'!$J$231</definedName>
    <definedName name="Std10dot6b" localSheetId="4">'IWP03'!$J$231</definedName>
    <definedName name="Std10dot6b" localSheetId="5">'IWP04'!$J$231</definedName>
    <definedName name="Std10dot6b" localSheetId="6">'IWP05'!$J$231</definedName>
    <definedName name="Std10dot6b" localSheetId="7">'IWP06'!$J$231</definedName>
    <definedName name="Std10dot6b" localSheetId="8">'IWP07'!$J$231</definedName>
    <definedName name="Std10dot6b" localSheetId="9">'IWP08'!$J$231</definedName>
    <definedName name="Std10dot6c" localSheetId="2">'IWP01'!$J$232</definedName>
    <definedName name="Std10dot6c" localSheetId="3">'IWP02'!$J$232</definedName>
    <definedName name="Std10dot6c" localSheetId="4">'IWP03'!$J$232</definedName>
    <definedName name="Std10dot6c" localSheetId="5">'IWP04'!$J$232</definedName>
    <definedName name="Std10dot6c" localSheetId="6">'IWP05'!$J$232</definedName>
    <definedName name="Std10dot6c" localSheetId="7">'IWP06'!$J$232</definedName>
    <definedName name="Std10dot6c" localSheetId="8">'IWP07'!$J$232</definedName>
    <definedName name="Std10dot6c" localSheetId="9">'IWP08'!$J$232</definedName>
    <definedName name="Std10dot6NotCalc" localSheetId="2">'IWP01'!$J$224</definedName>
    <definedName name="Std10dot6NotCalc" localSheetId="3">'IWP02'!$J$224</definedName>
    <definedName name="Std10dot6NotCalc" localSheetId="4">'IWP03'!$J$224</definedName>
    <definedName name="Std10dot6NotCalc" localSheetId="5">'IWP04'!$J$224</definedName>
    <definedName name="Std10dot6NotCalc" localSheetId="6">'IWP05'!$J$224</definedName>
    <definedName name="Std10dot6NotCalc" localSheetId="7">'IWP06'!$J$224</definedName>
    <definedName name="Std10dot6NotCalc" localSheetId="8">'IWP07'!$J$224</definedName>
    <definedName name="Std10dot6NotCalc" localSheetId="9">'IWP08'!$J$224</definedName>
    <definedName name="Std11dot1" localSheetId="2">'IWP01'!$J$239</definedName>
    <definedName name="Std11dot1" localSheetId="3">'IWP02'!$J$239</definedName>
    <definedName name="Std11dot1" localSheetId="4">'IWP03'!$J$239</definedName>
    <definedName name="Std11dot1" localSheetId="5">'IWP04'!$J$239</definedName>
    <definedName name="Std11dot1" localSheetId="6">'IWP05'!$J$239</definedName>
    <definedName name="Std11dot1" localSheetId="7">'IWP06'!$J$239</definedName>
    <definedName name="Std11dot1" localSheetId="8">'IWP07'!$J$239</definedName>
    <definedName name="Std11dot1" localSheetId="9">'IWP08'!$J$239</definedName>
    <definedName name="Std11dot2" localSheetId="2">'IWP01'!$J$248</definedName>
    <definedName name="Std11dot2" localSheetId="3">'IWP02'!$J$248</definedName>
    <definedName name="Std11dot2" localSheetId="4">'IWP03'!$J$248</definedName>
    <definedName name="Std11dot2" localSheetId="5">'IWP04'!$J$248</definedName>
    <definedName name="Std11dot2" localSheetId="6">'IWP05'!$J$248</definedName>
    <definedName name="Std11dot2" localSheetId="7">'IWP06'!$J$248</definedName>
    <definedName name="Std11dot2" localSheetId="8">'IWP07'!$J$248</definedName>
    <definedName name="Std11dot2" localSheetId="9">'IWP08'!$J$248</definedName>
    <definedName name="Std11dot3" localSheetId="2">'IWP01'!$J$270</definedName>
    <definedName name="Std11dot3" localSheetId="3">'IWP02'!$J$270</definedName>
    <definedName name="Std11dot3" localSheetId="4">'IWP03'!$J$270</definedName>
    <definedName name="Std11dot3" localSheetId="5">'IWP04'!$J$270</definedName>
    <definedName name="Std11dot3" localSheetId="6">'IWP05'!$J$270</definedName>
    <definedName name="Std11dot3" localSheetId="7">'IWP06'!$J$270</definedName>
    <definedName name="Std11dot3" localSheetId="8">'IWP07'!$J$270</definedName>
    <definedName name="Std11dot3" localSheetId="9">'IWP08'!$J$270</definedName>
    <definedName name="Std11dot3Billing" localSheetId="2">'IWP01'!$A$260:$N$269</definedName>
    <definedName name="Std11dot3Billing" localSheetId="3">'IWP02'!$A$260:$N$269</definedName>
    <definedName name="Std11dot3Billing" localSheetId="4">'IWP03'!$A$260:$N$269</definedName>
    <definedName name="Std11dot3Billing" localSheetId="5">'IWP04'!$A$260:$N$269</definedName>
    <definedName name="Std11dot3Billing" localSheetId="6">'IWP05'!$A$260:$N$269</definedName>
    <definedName name="Std11dot3Billing" localSheetId="7">'IWP06'!$A$260:$N$269</definedName>
    <definedName name="Std11dot3Billing" localSheetId="8">'IWP07'!$A$260:$N$269</definedName>
    <definedName name="Std11dot3Billing" localSheetId="9">'IWP08'!$A$260:$N$269</definedName>
    <definedName name="Std11dot4" localSheetId="2">'IWP01'!$J$285</definedName>
    <definedName name="Std11dot4" localSheetId="3">'IWP02'!$J$285</definedName>
    <definedName name="Std11dot4" localSheetId="4">'IWP03'!$J$285</definedName>
    <definedName name="Std11dot4" localSheetId="5">'IWP04'!$J$285</definedName>
    <definedName name="Std11dot4" localSheetId="6">'IWP05'!$J$285</definedName>
    <definedName name="Std11dot4" localSheetId="7">'IWP06'!$J$285</definedName>
    <definedName name="Std11dot4" localSheetId="8">'IWP07'!$J$285</definedName>
    <definedName name="Std11dot4" localSheetId="9">'IWP08'!$J$285</definedName>
    <definedName name="Std11dot4a" localSheetId="2">'IWP01'!$J$280</definedName>
    <definedName name="Std11dot4a" localSheetId="3">'IWP02'!$J$280</definedName>
    <definedName name="Std11dot4a" localSheetId="4">'IWP03'!$J$280</definedName>
    <definedName name="Std11dot4a" localSheetId="5">'IWP04'!$J$280</definedName>
    <definedName name="Std11dot4a" localSheetId="6">'IWP05'!$J$280</definedName>
    <definedName name="Std11dot4a" localSheetId="7">'IWP06'!$J$280</definedName>
    <definedName name="Std11dot4a" localSheetId="8">'IWP07'!$J$280</definedName>
    <definedName name="Std11dot4a" localSheetId="9">'IWP08'!$J$280</definedName>
    <definedName name="Std11dot4b" localSheetId="2">'IWP01'!$J$281</definedName>
    <definedName name="Std11dot4b" localSheetId="3">'IWP02'!$J$281</definedName>
    <definedName name="Std11dot4b" localSheetId="4">'IWP03'!$J$281</definedName>
    <definedName name="Std11dot4b" localSheetId="5">'IWP04'!$J$281</definedName>
    <definedName name="Std11dot4b" localSheetId="6">'IWP05'!$J$281</definedName>
    <definedName name="Std11dot4b" localSheetId="7">'IWP06'!$J$281</definedName>
    <definedName name="Std11dot4b" localSheetId="8">'IWP07'!$J$281</definedName>
    <definedName name="Std11dot4b" localSheetId="9">'IWP08'!$J$281</definedName>
    <definedName name="Std11dot4ci" localSheetId="2">'IWP01'!$J$282</definedName>
    <definedName name="Std11dot4ci" localSheetId="3">'IWP02'!$J$282</definedName>
    <definedName name="Std11dot4ci" localSheetId="4">'IWP03'!$J$282</definedName>
    <definedName name="Std11dot4ci" localSheetId="5">'IWP04'!$J$282</definedName>
    <definedName name="Std11dot4ci" localSheetId="6">'IWP05'!$J$282</definedName>
    <definedName name="Std11dot4ci" localSheetId="7">'IWP06'!$J$282</definedName>
    <definedName name="Std11dot4ci" localSheetId="8">'IWP07'!$J$282</definedName>
    <definedName name="Std11dot4ci" localSheetId="9">'IWP08'!$J$282</definedName>
    <definedName name="Std11dot4cii" localSheetId="2">'IWP01'!$J$284</definedName>
    <definedName name="Std11dot4cii" localSheetId="3">'IWP02'!$J$284</definedName>
    <definedName name="Std11dot4cii" localSheetId="4">'IWP03'!$J$284</definedName>
    <definedName name="Std11dot4cii" localSheetId="5">'IWP04'!$J$284</definedName>
    <definedName name="Std11dot4cii" localSheetId="6">'IWP05'!$J$284</definedName>
    <definedName name="Std11dot4cii" localSheetId="7">'IWP06'!$J$284</definedName>
    <definedName name="Std11dot4cii" localSheetId="8">'IWP07'!$J$284</definedName>
    <definedName name="Std11dot4cii" localSheetId="9">'IWP08'!$J$284</definedName>
    <definedName name="Std11dot4CoPayAmtDue" localSheetId="2">'IWP01'!$I$279</definedName>
    <definedName name="Std11dot4CoPayAmtDue" localSheetId="3">'IWP02'!$I$279</definedName>
    <definedName name="Std11dot4CoPayAmtDue" localSheetId="4">'IWP03'!$I$279</definedName>
    <definedName name="Std11dot4CoPayAmtDue" localSheetId="5">'IWP04'!$I$279</definedName>
    <definedName name="Std11dot4CoPayAmtDue" localSheetId="6">'IWP05'!$I$279</definedName>
    <definedName name="Std11dot4CoPayAmtDue" localSheetId="7">'IWP06'!$I$279</definedName>
    <definedName name="Std11dot4CoPayAmtDue" localSheetId="8">'IWP07'!$I$279</definedName>
    <definedName name="Std11dot4CoPayAmtDue" localSheetId="9">'IWP08'!$I$279</definedName>
    <definedName name="Std11dot4CoPayAmtRfnd" localSheetId="2">'IWP01'!$K$279</definedName>
    <definedName name="Std11dot4CoPayAmtRfnd" localSheetId="3">'IWP02'!$K$279</definedName>
    <definedName name="Std11dot4CoPayAmtRfnd" localSheetId="4">'IWP03'!$K$279</definedName>
    <definedName name="Std11dot4CoPayAmtRfnd" localSheetId="5">'IWP04'!$K$279</definedName>
    <definedName name="Std11dot4CoPayAmtRfnd" localSheetId="6">'IWP05'!$K$279</definedName>
    <definedName name="Std11dot4CoPayAmtRfnd" localSheetId="7">'IWP06'!$K$279</definedName>
    <definedName name="Std11dot4CoPayAmtRfnd" localSheetId="8">'IWP07'!$K$279</definedName>
    <definedName name="Std11dot4CoPayAmtRfnd" localSheetId="9">'IWP08'!$K$279</definedName>
    <definedName name="Std11dot4CoPayRfndDt" localSheetId="2">'IWP01'!$M$279</definedName>
    <definedName name="Std11dot4CoPayRfndDt" localSheetId="3">'IWP02'!$M$279</definedName>
    <definedName name="Std11dot4CoPayRfndDt" localSheetId="4">'IWP03'!$M$279</definedName>
    <definedName name="Std11dot4CoPayRfndDt" localSheetId="5">'IWP04'!$M$279</definedName>
    <definedName name="Std11dot4CoPayRfndDt" localSheetId="6">'IWP05'!$M$279</definedName>
    <definedName name="Std11dot4CoPayRfndDt" localSheetId="7">'IWP06'!$M$279</definedName>
    <definedName name="Std11dot4CoPayRfndDt" localSheetId="8">'IWP07'!$M$279</definedName>
    <definedName name="Std11dot4CoPayRfndDt" localSheetId="9">'IWP08'!$M$279</definedName>
    <definedName name="Std11dot4DtDeathDschg" localSheetId="2">'IWP01'!$A$279</definedName>
    <definedName name="Std11dot4DtDeathDschg" localSheetId="3">'IWP02'!$A$279</definedName>
    <definedName name="Std11dot4DtDeathDschg" localSheetId="4">'IWP03'!$A$279</definedName>
    <definedName name="Std11dot4DtDeathDschg" localSheetId="5">'IWP04'!$A$279</definedName>
    <definedName name="Std11dot4DtDeathDschg" localSheetId="6">'IWP05'!$A$279</definedName>
    <definedName name="Std11dot4DtDeathDschg" localSheetId="7">'IWP06'!$A$279</definedName>
    <definedName name="Std11dot4DtDeathDschg" localSheetId="8">'IWP07'!$A$279</definedName>
    <definedName name="Std11dot4DtDeathDschg" localSheetId="9">'IWP08'!$A$279</definedName>
    <definedName name="Std11dot4FrstName" localSheetId="2">'IWP01'!$Q$279</definedName>
    <definedName name="Std11dot4FrstName" localSheetId="3">'IWP02'!$Q$279</definedName>
    <definedName name="Std11dot4FrstName" localSheetId="4">'IWP03'!$Q$279</definedName>
    <definedName name="Std11dot4FrstName" localSheetId="5">'IWP04'!$Q$279</definedName>
    <definedName name="Std11dot4FrstName" localSheetId="6">'IWP05'!$Q$279</definedName>
    <definedName name="Std11dot4FrstName" localSheetId="7">'IWP06'!$Q$279</definedName>
    <definedName name="Std11dot4FrstName" localSheetId="8">'IWP07'!$Q$279</definedName>
    <definedName name="Std11dot4FrstName" localSheetId="9">'IWP08'!$Q$279</definedName>
    <definedName name="Std11dot4LstName" localSheetId="2">'IWP01'!$O$279</definedName>
    <definedName name="Std11dot4LstName" localSheetId="3">'IWP02'!$O$279</definedName>
    <definedName name="Std11dot4LstName" localSheetId="4">'IWP03'!$O$279</definedName>
    <definedName name="Std11dot4LstName" localSheetId="5">'IWP04'!$O$279</definedName>
    <definedName name="Std11dot4LstName" localSheetId="6">'IWP05'!$O$279</definedName>
    <definedName name="Std11dot4LstName" localSheetId="7">'IWP06'!$O$279</definedName>
    <definedName name="Std11dot4LstName" localSheetId="8">'IWP07'!$O$279</definedName>
    <definedName name="Std11dot4LstName" localSheetId="9">'IWP08'!$O$279</definedName>
    <definedName name="Std11dot4RmBdAmtDue" localSheetId="2">'IWP01'!$C$279</definedName>
    <definedName name="Std11dot4RmBdAmtDue" localSheetId="3">'IWP02'!$C$279</definedName>
    <definedName name="Std11dot4RmBdAmtDue" localSheetId="4">'IWP03'!$C$279</definedName>
    <definedName name="Std11dot4RmBdAmtDue" localSheetId="5">'IWP04'!$C$279</definedName>
    <definedName name="Std11dot4RmBdAmtDue" localSheetId="6">'IWP05'!$C$279</definedName>
    <definedName name="Std11dot4RmBdAmtDue" localSheetId="7">'IWP06'!$C$279</definedName>
    <definedName name="Std11dot4RmBdAmtDue" localSheetId="8">'IWP07'!$C$279</definedName>
    <definedName name="Std11dot4RmBdAmtDue" localSheetId="9">'IWP08'!$C$279</definedName>
    <definedName name="Std11dot4RmBdAmtRfnd" localSheetId="2">'IWP01'!$E$279</definedName>
    <definedName name="Std11dot4RmBdAmtRfnd" localSheetId="3">'IWP02'!$E$279</definedName>
    <definedName name="Std11dot4RmBdAmtRfnd" localSheetId="4">'IWP03'!$E$279</definedName>
    <definedName name="Std11dot4RmBdAmtRfnd" localSheetId="5">'IWP04'!$E$279</definedName>
    <definedName name="Std11dot4RmBdAmtRfnd" localSheetId="6">'IWP05'!$E$279</definedName>
    <definedName name="Std11dot4RmBdAmtRfnd" localSheetId="7">'IWP06'!$E$279</definedName>
    <definedName name="Std11dot4RmBdAmtRfnd" localSheetId="8">'IWP07'!$E$279</definedName>
    <definedName name="Std11dot4RmBdAmtRfnd" localSheetId="9">'IWP08'!$E$279</definedName>
    <definedName name="Std11dot4RmBdRfndDt" localSheetId="2">'IWP01'!$G$279</definedName>
    <definedName name="Std11dot4RmBdRfndDt" localSheetId="3">'IWP02'!$G$279</definedName>
    <definedName name="Std11dot4RmBdRfndDt" localSheetId="4">'IWP03'!$G$279</definedName>
    <definedName name="Std11dot4RmBdRfndDt" localSheetId="5">'IWP04'!$G$279</definedName>
    <definedName name="Std11dot4RmBdRfndDt" localSheetId="6">'IWP05'!$G$279</definedName>
    <definedName name="Std11dot4RmBdRfndDt" localSheetId="7">'IWP06'!$G$279</definedName>
    <definedName name="Std11dot4RmBdRfndDt" localSheetId="8">'IWP07'!$G$279</definedName>
    <definedName name="Std11dot4RmBdRfndDt" localSheetId="9">'IWP08'!$G$279</definedName>
    <definedName name="Std3dot1" localSheetId="2">'IWP01'!$K$14</definedName>
    <definedName name="Std3dot1" localSheetId="3">'IWP02'!$K$14</definedName>
    <definedName name="Std3dot1" localSheetId="4">'IWP03'!$K$14</definedName>
    <definedName name="Std3dot1" localSheetId="5">'IWP04'!$K$14</definedName>
    <definedName name="Std3dot1" localSheetId="6">'IWP05'!$K$14</definedName>
    <definedName name="Std3dot1" localSheetId="7">'IWP06'!$K$14</definedName>
    <definedName name="Std3dot1" localSheetId="8">'IWP07'!$K$14</definedName>
    <definedName name="Std3dot1" localSheetId="9">'IWP08'!$K$14</definedName>
    <definedName name="Std3dot1a" localSheetId="2">'IWP01'!$K$10</definedName>
    <definedName name="Std3dot1a" localSheetId="3">'IWP02'!$K$10</definedName>
    <definedName name="Std3dot1a" localSheetId="4">'IWP03'!$K$10</definedName>
    <definedName name="Std3dot1a" localSheetId="5">'IWP04'!$K$10</definedName>
    <definedName name="Std3dot1a" localSheetId="6">'IWP05'!$K$10</definedName>
    <definedName name="Std3dot1a" localSheetId="7">'IWP06'!$K$10</definedName>
    <definedName name="Std3dot1a" localSheetId="8">'IWP07'!$K$10</definedName>
    <definedName name="Std3dot1a" localSheetId="9">'IWP08'!$K$10</definedName>
    <definedName name="Std3dot1aDate" localSheetId="2">'IWP01'!$I$10</definedName>
    <definedName name="Std3dot1aDate" localSheetId="3">'IWP02'!$I$10</definedName>
    <definedName name="Std3dot1aDate" localSheetId="4">'IWP03'!$I$10</definedName>
    <definedName name="Std3dot1aDate" localSheetId="5">'IWP04'!$I$10</definedName>
    <definedName name="Std3dot1aDate" localSheetId="6">'IWP05'!$I$10</definedName>
    <definedName name="Std3dot1aDate" localSheetId="7">'IWP06'!$I$10</definedName>
    <definedName name="Std3dot1aDate" localSheetId="8">'IWP07'!$I$10</definedName>
    <definedName name="Std3dot1aDate" localSheetId="9">'IWP08'!$I$10</definedName>
    <definedName name="Std3dot1b" localSheetId="2">'IWP01'!$K$12</definedName>
    <definedName name="Std3dot1b" localSheetId="3">'IWP02'!$K$12</definedName>
    <definedName name="Std3dot1b" localSheetId="4">'IWP03'!$K$12</definedName>
    <definedName name="Std3dot1b" localSheetId="5">'IWP04'!$K$12</definedName>
    <definedName name="Std3dot1b" localSheetId="6">'IWP05'!$K$12</definedName>
    <definedName name="Std3dot1b" localSheetId="7">'IWP06'!$K$12</definedName>
    <definedName name="Std3dot1b" localSheetId="8">'IWP07'!$K$12</definedName>
    <definedName name="Std3dot1b" localSheetId="9">'IWP08'!$K$12</definedName>
    <definedName name="Std3dot1bDate" localSheetId="2">'IWP01'!$I$12</definedName>
    <definedName name="Std3dot1bDate" localSheetId="3">'IWP02'!$I$12</definedName>
    <definedName name="Std3dot1bDate" localSheetId="4">'IWP03'!$I$12</definedName>
    <definedName name="Std3dot1bDate" localSheetId="5">'IWP04'!$I$12</definedName>
    <definedName name="Std3dot1bDate" localSheetId="6">'IWP05'!$I$12</definedName>
    <definedName name="Std3dot1bDate" localSheetId="7">'IWP06'!$I$12</definedName>
    <definedName name="Std3dot1bDate" localSheetId="8">'IWP07'!$I$12</definedName>
    <definedName name="Std3dot1bDate" localSheetId="9">'IWP08'!$I$12</definedName>
    <definedName name="Std3dot2" localSheetId="2">'IWP01'!$J$23</definedName>
    <definedName name="Std3dot2" localSheetId="3">'IWP02'!$J$23</definedName>
    <definedName name="Std3dot2" localSheetId="4">'IWP03'!$J$23</definedName>
    <definedName name="Std3dot2" localSheetId="5">'IWP04'!$J$23</definedName>
    <definedName name="Std3dot2" localSheetId="6">'IWP05'!$J$23</definedName>
    <definedName name="Std3dot2" localSheetId="7">'IWP06'!$J$23</definedName>
    <definedName name="Std3dot2" localSheetId="8">'IWP07'!$J$23</definedName>
    <definedName name="Std3dot2" localSheetId="9">'IWP08'!$J$23</definedName>
    <definedName name="Std3dot2AdditionalTasks" localSheetId="2">'IWP01'!$A$20</definedName>
    <definedName name="Std3dot2AdditionalTasks" localSheetId="3">'IWP02'!$A$20</definedName>
    <definedName name="Std3dot2AdditionalTasks" localSheetId="4">'IWP03'!$A$20</definedName>
    <definedName name="Std3dot2AdditionalTasks" localSheetId="5">'IWP04'!$A$20</definedName>
    <definedName name="Std3dot2AdditionalTasks" localSheetId="6">'IWP05'!$A$20</definedName>
    <definedName name="Std3dot2AdditionalTasks" localSheetId="7">'IWP06'!$A$20</definedName>
    <definedName name="Std3dot2AdditionalTasks" localSheetId="8">'IWP07'!$A$20</definedName>
    <definedName name="Std3dot2AdditionalTasks" localSheetId="9">'IWP08'!$A$20</definedName>
    <definedName name="Std3dot2Month1" localSheetId="2">'IWP01'!$B$22</definedName>
    <definedName name="Std3dot2Month1" localSheetId="3">'IWP02'!$B$22</definedName>
    <definedName name="Std3dot2Month1" localSheetId="4">'IWP03'!$B$22</definedName>
    <definedName name="Std3dot2Month1" localSheetId="5">'IWP04'!$B$22</definedName>
    <definedName name="Std3dot2Month1" localSheetId="6">'IWP05'!$B$22</definedName>
    <definedName name="Std3dot2Month1" localSheetId="7">'IWP06'!$B$22</definedName>
    <definedName name="Std3dot2Month1" localSheetId="8">'IWP07'!$B$22</definedName>
    <definedName name="Std3dot2Month1" localSheetId="9">'IWP08'!$B$22</definedName>
    <definedName name="Std3dot2Month1Date" localSheetId="2">'IWP01'!$D$22</definedName>
    <definedName name="Std3dot2Month1Date" localSheetId="3">'IWP02'!$D$22</definedName>
    <definedName name="Std3dot2Month1Date" localSheetId="4">'IWP03'!$D$22</definedName>
    <definedName name="Std3dot2Month1Date" localSheetId="5">'IWP04'!$D$22</definedName>
    <definedName name="Std3dot2Month1Date" localSheetId="6">'IWP05'!$D$22</definedName>
    <definedName name="Std3dot2Month1Date" localSheetId="7">'IWP06'!$D$22</definedName>
    <definedName name="Std3dot2Month1Date" localSheetId="8">'IWP07'!$D$22</definedName>
    <definedName name="Std3dot2Month1Date" localSheetId="9">'IWP08'!$D$22</definedName>
    <definedName name="Std3dot2Month2" localSheetId="2">'IWP01'!$G$22</definedName>
    <definedName name="Std3dot2Month2" localSheetId="3">'IWP02'!$G$22</definedName>
    <definedName name="Std3dot2Month2" localSheetId="4">'IWP03'!$G$22</definedName>
    <definedName name="Std3dot2Month2" localSheetId="5">'IWP04'!$G$22</definedName>
    <definedName name="Std3dot2Month2" localSheetId="6">'IWP05'!$G$22</definedName>
    <definedName name="Std3dot2Month2" localSheetId="7">'IWP06'!$G$22</definedName>
    <definedName name="Std3dot2Month2" localSheetId="8">'IWP07'!$G$22</definedName>
    <definedName name="Std3dot2Month2" localSheetId="9">'IWP08'!$G$22</definedName>
    <definedName name="Std3dot2Month2Date" localSheetId="2">'IWP01'!$I$22</definedName>
    <definedName name="Std3dot2Month2Date" localSheetId="3">'IWP02'!$I$22</definedName>
    <definedName name="Std3dot2Month2Date" localSheetId="4">'IWP03'!$I$22</definedName>
    <definedName name="Std3dot2Month2Date" localSheetId="5">'IWP04'!$I$22</definedName>
    <definedName name="Std3dot2Month2Date" localSheetId="6">'IWP05'!$I$22</definedName>
    <definedName name="Std3dot2Month2Date" localSheetId="7">'IWP06'!$I$22</definedName>
    <definedName name="Std3dot2Month2Date" localSheetId="8">'IWP07'!$I$22</definedName>
    <definedName name="Std3dot2Month2Date" localSheetId="9">'IWP08'!$I$22</definedName>
    <definedName name="Std3dot3" localSheetId="2">'IWP01'!$J$26</definedName>
    <definedName name="Std3dot3" localSheetId="3">'IWP02'!$J$26</definedName>
    <definedName name="Std3dot3" localSheetId="4">'IWP03'!$J$26</definedName>
    <definedName name="Std3dot3" localSheetId="5">'IWP04'!$J$26</definedName>
    <definedName name="Std3dot3" localSheetId="6">'IWP05'!$J$26</definedName>
    <definedName name="Std3dot3" localSheetId="7">'IWP06'!$J$26</definedName>
    <definedName name="Std3dot3" localSheetId="8">'IWP07'!$J$26</definedName>
    <definedName name="Std3dot3" localSheetId="9">'IWP08'!$J$26</definedName>
    <definedName name="Std3dot4" localSheetId="2">'IWP01'!$J$29</definedName>
    <definedName name="Std3dot4" localSheetId="3">'IWP02'!$J$29</definedName>
    <definedName name="Std3dot4" localSheetId="4">'IWP03'!$J$29</definedName>
    <definedName name="Std3dot4" localSheetId="5">'IWP04'!$J$29</definedName>
    <definedName name="Std3dot4" localSheetId="6">'IWP05'!$J$29</definedName>
    <definedName name="Std3dot4" localSheetId="7">'IWP06'!$J$29</definedName>
    <definedName name="Std3dot4" localSheetId="8">'IWP07'!$J$29</definedName>
    <definedName name="Std3dot4" localSheetId="9">'IWP08'!$J$29</definedName>
    <definedName name="Std3NotCalc" localSheetId="2">'IWP01'!$K$7</definedName>
    <definedName name="Std3NotCalc" localSheetId="3">'IWP02'!$K$7</definedName>
    <definedName name="Std3NotCalc" localSheetId="4">'IWP03'!$K$7</definedName>
    <definedName name="Std3NotCalc" localSheetId="5">'IWP04'!$K$7</definedName>
    <definedName name="Std3NotCalc" localSheetId="6">'IWP05'!$K$7</definedName>
    <definedName name="Std3NotCalc" localSheetId="7">'IWP06'!$K$7</definedName>
    <definedName name="Std3NotCalc" localSheetId="8">'IWP07'!$K$7</definedName>
    <definedName name="Std3NotCalc" localSheetId="9">'IWP08'!$K$7</definedName>
    <definedName name="Std4dot1" localSheetId="2">'IWP01'!$J$39</definedName>
    <definedName name="Std4dot1" localSheetId="3">'IWP02'!$J$39</definedName>
    <definedName name="Std4dot1" localSheetId="4">'IWP03'!$J$39</definedName>
    <definedName name="Std4dot1" localSheetId="5">'IWP04'!$J$39</definedName>
    <definedName name="Std4dot1" localSheetId="6">'IWP05'!$J$39</definedName>
    <definedName name="Std4dot1" localSheetId="7">'IWP06'!$J$39</definedName>
    <definedName name="Std4dot1" localSheetId="8">'IWP07'!$J$39</definedName>
    <definedName name="Std4dot1" localSheetId="9">'IWP08'!$J$39</definedName>
    <definedName name="Std4dot1a" localSheetId="2">'IWP01'!$J$35</definedName>
    <definedName name="Std4dot1a" localSheetId="3">'IWP02'!$J$35</definedName>
    <definedName name="Std4dot1a" localSheetId="4">'IWP03'!$J$35</definedName>
    <definedName name="Std4dot1a" localSheetId="5">'IWP04'!$J$35</definedName>
    <definedName name="Std4dot1a" localSheetId="6">'IWP05'!$J$35</definedName>
    <definedName name="Std4dot1a" localSheetId="7">'IWP06'!$J$35</definedName>
    <definedName name="Std4dot1a" localSheetId="8">'IWP07'!$J$35</definedName>
    <definedName name="Std4dot1a" localSheetId="9">'IWP08'!$J$35</definedName>
    <definedName name="Std4dot1b" localSheetId="2">'IWP01'!$J$36</definedName>
    <definedName name="Std4dot1b" localSheetId="3">'IWP02'!$J$36</definedName>
    <definedName name="Std4dot1b" localSheetId="4">'IWP03'!$J$36</definedName>
    <definedName name="Std4dot1b" localSheetId="5">'IWP04'!$J$36</definedName>
    <definedName name="Std4dot1b" localSheetId="6">'IWP05'!$J$36</definedName>
    <definedName name="Std4dot1b" localSheetId="7">'IWP06'!$J$36</definedName>
    <definedName name="Std4dot1b" localSheetId="8">'IWP07'!$J$36</definedName>
    <definedName name="Std4dot1b" localSheetId="9">'IWP08'!$J$36</definedName>
    <definedName name="Std4dot1c" localSheetId="2">'IWP01'!$J$37</definedName>
    <definedName name="Std4dot1c" localSheetId="3">'IWP02'!$J$37</definedName>
    <definedName name="Std4dot1c" localSheetId="4">'IWP03'!$J$37</definedName>
    <definedName name="Std4dot1c" localSheetId="5">'IWP04'!$J$37</definedName>
    <definedName name="Std4dot1c" localSheetId="6">'IWP05'!$J$37</definedName>
    <definedName name="Std4dot1c" localSheetId="7">'IWP06'!$J$37</definedName>
    <definedName name="Std4dot1c" localSheetId="8">'IWP07'!$J$37</definedName>
    <definedName name="Std4dot1c" localSheetId="9">'IWP08'!$J$37</definedName>
    <definedName name="Std4dot1d" localSheetId="2">'IWP01'!$J$38</definedName>
    <definedName name="Std4dot1d" localSheetId="3">'IWP02'!$J$38</definedName>
    <definedName name="Std4dot1d" localSheetId="4">'IWP03'!$J$38</definedName>
    <definedName name="Std4dot1d" localSheetId="5">'IWP04'!$J$38</definedName>
    <definedName name="Std4dot1d" localSheetId="6">'IWP05'!$J$38</definedName>
    <definedName name="Std4dot1d" localSheetId="7">'IWP06'!$J$38</definedName>
    <definedName name="Std4dot1d" localSheetId="8">'IWP07'!$J$38</definedName>
    <definedName name="Std4dot1d" localSheetId="9">'IWP08'!$J$38</definedName>
    <definedName name="Std5dot1" localSheetId="2">'IWP01'!$K$45</definedName>
    <definedName name="Std5dot1" localSheetId="3">'IWP02'!$K$45</definedName>
    <definedName name="Std5dot1" localSheetId="4">'IWP03'!$K$45</definedName>
    <definedName name="Std5dot1" localSheetId="5">'IWP04'!$K$45</definedName>
    <definedName name="Std5dot1" localSheetId="6">'IWP05'!$K$45</definedName>
    <definedName name="Std5dot1" localSheetId="7">'IWP06'!$K$45</definedName>
    <definedName name="Std5dot1" localSheetId="8">'IWP07'!$K$45</definedName>
    <definedName name="Std5dot1" localSheetId="9">'IWP08'!$K$45</definedName>
    <definedName name="Std5NotCalc" localSheetId="2">'IWP01'!$K$42</definedName>
    <definedName name="Std5NotCalc" localSheetId="3">'IWP02'!$K$42</definedName>
    <definedName name="Std5NotCalc" localSheetId="4">'IWP03'!$K$42</definedName>
    <definedName name="Std5NotCalc" localSheetId="5">'IWP04'!$K$42</definedName>
    <definedName name="Std5NotCalc" localSheetId="6">'IWP05'!$K$42</definedName>
    <definedName name="Std5NotCalc" localSheetId="7">'IWP06'!$K$42</definedName>
    <definedName name="Std5NotCalc" localSheetId="8">'IWP07'!$K$42</definedName>
    <definedName name="Std5NotCalc" localSheetId="9">'IWP08'!$K$42</definedName>
    <definedName name="Std7dot1" localSheetId="2">'IWP01'!$K$67</definedName>
    <definedName name="Std7dot1" localSheetId="3">'IWP02'!$K$67</definedName>
    <definedName name="Std7dot1" localSheetId="4">'IWP03'!$K$67</definedName>
    <definedName name="Std7dot1" localSheetId="5">'IWP04'!$K$67</definedName>
    <definedName name="Std7dot1" localSheetId="6">'IWP05'!$K$67</definedName>
    <definedName name="Std7dot1" localSheetId="7">'IWP06'!$K$67</definedName>
    <definedName name="Std7dot1" localSheetId="8">'IWP07'!$K$67</definedName>
    <definedName name="Std7dot1" localSheetId="9">'IWP08'!$K$67</definedName>
    <definedName name="Std7dot1AdjBal" localSheetId="2">'IWP01'!$F$63</definedName>
    <definedName name="Std7dot1AdjBal" localSheetId="3">'IWP02'!$F$63</definedName>
    <definedName name="Std7dot1AdjBal" localSheetId="4">'IWP03'!$F$63</definedName>
    <definedName name="Std7dot1AdjBal" localSheetId="5">'IWP04'!$F$63</definedName>
    <definedName name="Std7dot1AdjBal" localSheetId="6">'IWP05'!$F$63</definedName>
    <definedName name="Std7dot1AdjBal" localSheetId="7">'IWP06'!$F$63</definedName>
    <definedName name="Std7dot1AdjBal" localSheetId="8">'IWP07'!$F$63</definedName>
    <definedName name="Std7dot1AdjBal" localSheetId="9">'IWP08'!$F$63</definedName>
    <definedName name="Std7dot1BalPerCshLog" localSheetId="2">'IWP01'!$F$61</definedName>
    <definedName name="Std7dot1BalPerCshLog" localSheetId="3">'IWP02'!$F$61</definedName>
    <definedName name="Std7dot1BalPerCshLog" localSheetId="4">'IWP03'!$F$61</definedName>
    <definedName name="Std7dot1BalPerCshLog" localSheetId="5">'IWP04'!$F$61</definedName>
    <definedName name="Std7dot1BalPerCshLog" localSheetId="6">'IWP05'!$F$61</definedName>
    <definedName name="Std7dot1BalPerCshLog" localSheetId="7">'IWP06'!$F$61</definedName>
    <definedName name="Std7dot1BalPerCshLog" localSheetId="8">'IWP07'!$F$61</definedName>
    <definedName name="Std7dot1BalPerCshLog" localSheetId="9">'IWP08'!$F$61</definedName>
    <definedName name="Std7dot1CshOnHand" localSheetId="2">'IWP01'!$F$64</definedName>
    <definedName name="Std7dot1CshOnHand" localSheetId="3">'IWP02'!$F$64</definedName>
    <definedName name="Std7dot1CshOnHand" localSheetId="4">'IWP03'!$F$64</definedName>
    <definedName name="Std7dot1CshOnHand" localSheetId="5">'IWP04'!$F$64</definedName>
    <definedName name="Std7dot1CshOnHand" localSheetId="6">'IWP05'!$F$64</definedName>
    <definedName name="Std7dot1CshOnHand" localSheetId="7">'IWP06'!$F$64</definedName>
    <definedName name="Std7dot1CshOnHand" localSheetId="8">'IWP07'!$F$64</definedName>
    <definedName name="Std7dot1CshOnHand" localSheetId="9">'IWP08'!$F$64</definedName>
    <definedName name="Std7dot1LessAdj" localSheetId="2">'IWP01'!$F$62</definedName>
    <definedName name="Std7dot1LessAdj" localSheetId="3">'IWP02'!$F$62</definedName>
    <definedName name="Std7dot1LessAdj" localSheetId="4">'IWP03'!$F$62</definedName>
    <definedName name="Std7dot1LessAdj" localSheetId="5">'IWP04'!$F$62</definedName>
    <definedName name="Std7dot1LessAdj" localSheetId="6">'IWP05'!$F$62</definedName>
    <definedName name="Std7dot1LessAdj" localSheetId="7">'IWP06'!$F$62</definedName>
    <definedName name="Std7dot1LessAdj" localSheetId="8">'IWP07'!$F$62</definedName>
    <definedName name="Std7dot1LessAdj" localSheetId="9">'IWP08'!$F$62</definedName>
    <definedName name="Std7dot1NotCalc" localSheetId="2">'IWP01'!$K$50</definedName>
    <definedName name="Std7dot1NotCalc" localSheetId="3">'IWP02'!$K$50</definedName>
    <definedName name="Std7dot1NotCalc" localSheetId="4">'IWP03'!$K$50</definedName>
    <definedName name="Std7dot1NotCalc" localSheetId="5">'IWP04'!$K$50</definedName>
    <definedName name="Std7dot1NotCalc" localSheetId="6">'IWP05'!$K$50</definedName>
    <definedName name="Std7dot1NotCalc" localSheetId="7">'IWP06'!$K$50</definedName>
    <definedName name="Std7dot1NotCalc" localSheetId="8">'IWP07'!$K$50</definedName>
    <definedName name="Std7dot1NotCalc" localSheetId="9">'IWP08'!$K$50</definedName>
    <definedName name="Std7dot1OvrShrtCorr" localSheetId="2">'IWP01'!$E$66</definedName>
    <definedName name="Std7dot1OvrShrtCorr" localSheetId="3">'IWP02'!$E$66</definedName>
    <definedName name="Std7dot1OvrShrtCorr" localSheetId="4">'IWP03'!$E$66</definedName>
    <definedName name="Std7dot1OvrShrtCorr" localSheetId="5">'IWP04'!$E$66</definedName>
    <definedName name="Std7dot1OvrShrtCorr" localSheetId="6">'IWP05'!$E$66</definedName>
    <definedName name="Std7dot1OvrShrtCorr" localSheetId="7">'IWP06'!$E$66</definedName>
    <definedName name="Std7dot1OvrShrtCorr" localSheetId="8">'IWP07'!$E$66</definedName>
    <definedName name="Std7dot1OvrShrtCorr" localSheetId="9">'IWP08'!$E$66</definedName>
    <definedName name="Std7dot1PtyCshOvrShrt" localSheetId="2">'IWP01'!$F$65</definedName>
    <definedName name="Std7dot1PtyCshOvrShrt" localSheetId="3">'IWP02'!$F$65</definedName>
    <definedName name="Std7dot1PtyCshOvrShrt" localSheetId="4">'IWP03'!$F$65</definedName>
    <definedName name="Std7dot1PtyCshOvrShrt" localSheetId="5">'IWP04'!$F$65</definedName>
    <definedName name="Std7dot1PtyCshOvrShrt" localSheetId="6">'IWP05'!$F$65</definedName>
    <definedName name="Std7dot1PtyCshOvrShrt" localSheetId="7">'IWP06'!$F$65</definedName>
    <definedName name="Std7dot1PtyCshOvrShrt" localSheetId="8">'IWP07'!$F$65</definedName>
    <definedName name="Std7dot1PtyCshOvrShrt" localSheetId="9">'IWP08'!$F$65</definedName>
    <definedName name="Std9AdjBalPerBank" localSheetId="2">'IWP01'!$K$89</definedName>
    <definedName name="Std9AdjBalPerBank" localSheetId="3">'IWP02'!$K$89</definedName>
    <definedName name="Std9AdjBalPerBank" localSheetId="4">'IWP03'!$K$89</definedName>
    <definedName name="Std9AdjBalPerBank" localSheetId="5">'IWP04'!$K$89</definedName>
    <definedName name="Std9AdjBalPerBank" localSheetId="6">'IWP05'!$K$89</definedName>
    <definedName name="Std9AdjBalPerBank" localSheetId="7">'IWP06'!$K$89</definedName>
    <definedName name="Std9AdjBalPerBank" localSheetId="8">'IWP07'!$K$89</definedName>
    <definedName name="Std9AdjBalPerBank" localSheetId="9">'IWP08'!$K$89</definedName>
    <definedName name="Std9AdjBalPerBks" localSheetId="2">'IWP01'!$K$97</definedName>
    <definedName name="Std9AdjBalPerBks" localSheetId="3">'IWP02'!$K$97</definedName>
    <definedName name="Std9AdjBalPerBks" localSheetId="4">'IWP03'!$K$97</definedName>
    <definedName name="Std9AdjBalPerBks" localSheetId="5">'IWP04'!$K$97</definedName>
    <definedName name="Std9AdjBalPerBks" localSheetId="6">'IWP05'!$K$97</definedName>
    <definedName name="Std9AdjBalPerBks" localSheetId="7">'IWP06'!$K$97</definedName>
    <definedName name="Std9AdjBalPerBks" localSheetId="8">'IWP07'!$K$97</definedName>
    <definedName name="Std9AdjBalPerBks" localSheetId="9">'IWP08'!$K$97</definedName>
    <definedName name="Std9BalPerBks" localSheetId="2">'IWP01'!$K$93</definedName>
    <definedName name="Std9BalPerBks" localSheetId="3">'IWP02'!$K$93</definedName>
    <definedName name="Std9BalPerBks" localSheetId="4">'IWP03'!$K$93</definedName>
    <definedName name="Std9BalPerBks" localSheetId="5">'IWP04'!$K$93</definedName>
    <definedName name="Std9BalPerBks" localSheetId="6">'IWP05'!$K$93</definedName>
    <definedName name="Std9BalPerBks" localSheetId="7">'IWP06'!$K$93</definedName>
    <definedName name="Std9BalPerBks" localSheetId="8">'IWP07'!$K$93</definedName>
    <definedName name="Std9BalPerBks" localSheetId="9">'IWP08'!$K$93</definedName>
    <definedName name="Std9BalPerBksDt" localSheetId="2">'IWP01'!$G$93</definedName>
    <definedName name="Std9BalPerBksDt" localSheetId="3">'IWP02'!$G$93</definedName>
    <definedName name="Std9BalPerBksDt" localSheetId="4">'IWP03'!$G$93</definedName>
    <definedName name="Std9BalPerBksDt" localSheetId="5">'IWP04'!$G$93</definedName>
    <definedName name="Std9BalPerBksDt" localSheetId="6">'IWP05'!$G$93</definedName>
    <definedName name="Std9BalPerBksDt" localSheetId="7">'IWP06'!$G$93</definedName>
    <definedName name="Std9BalPerBksDt" localSheetId="8">'IWP07'!$G$93</definedName>
    <definedName name="Std9BalPerBksDt" localSheetId="9">'IWP08'!$G$93</definedName>
    <definedName name="Std9BalPerBnkStmt" localSheetId="2">'IWP01'!$K$86</definedName>
    <definedName name="Std9BalPerBnkStmt" localSheetId="3">'IWP02'!$K$86</definedName>
    <definedName name="Std9BalPerBnkStmt" localSheetId="4">'IWP03'!$K$86</definedName>
    <definedName name="Std9BalPerBnkStmt" localSheetId="5">'IWP04'!$K$86</definedName>
    <definedName name="Std9BalPerBnkStmt" localSheetId="6">'IWP05'!$K$86</definedName>
    <definedName name="Std9BalPerBnkStmt" localSheetId="7">'IWP06'!$K$86</definedName>
    <definedName name="Std9BalPerBnkStmt" localSheetId="8">'IWP07'!$K$86</definedName>
    <definedName name="Std9BalPerBnkStmt" localSheetId="9">'IWP08'!$K$86</definedName>
    <definedName name="Std9BalPerBnkStmtDt" localSheetId="2">'IWP01'!$F$86</definedName>
    <definedName name="Std9BalPerBnkStmtDt" localSheetId="3">'IWP02'!$F$86</definedName>
    <definedName name="Std9BalPerBnkStmtDt" localSheetId="4">'IWP03'!$F$86</definedName>
    <definedName name="Std9BalPerBnkStmtDt" localSheetId="5">'IWP04'!$F$86</definedName>
    <definedName name="Std9BalPerBnkStmtDt" localSheetId="6">'IWP05'!$F$86</definedName>
    <definedName name="Std9BalPerBnkStmtDt" localSheetId="7">'IWP06'!$F$86</definedName>
    <definedName name="Std9BalPerBnkStmtDt" localSheetId="8">'IWP07'!$F$86</definedName>
    <definedName name="Std9BalPerBnkStmtDt" localSheetId="9">'IWP08'!$F$86</definedName>
    <definedName name="Std9dot1" localSheetId="2">'IWP01'!$J$114</definedName>
    <definedName name="Std9dot1" localSheetId="3">'IWP02'!$J$114</definedName>
    <definedName name="Std9dot1" localSheetId="4">'IWP03'!$J$114</definedName>
    <definedName name="Std9dot1" localSheetId="5">'IWP04'!$J$114</definedName>
    <definedName name="Std9dot1" localSheetId="6">'IWP05'!$J$114</definedName>
    <definedName name="Std9dot1" localSheetId="7">'IWP06'!$J$114</definedName>
    <definedName name="Std9dot1" localSheetId="8">'IWP07'!$J$114</definedName>
    <definedName name="Std9dot1" localSheetId="9">'IWP08'!$J$114</definedName>
    <definedName name="Std9dot1aNotCalc" localSheetId="2">'IWP01'!$K$71</definedName>
    <definedName name="Std9dot1aNotCalc" localSheetId="3">'IWP02'!$K$71</definedName>
    <definedName name="Std9dot1aNotCalc" localSheetId="4">'IWP03'!$K$71</definedName>
    <definedName name="Std9dot1aNotCalc" localSheetId="5">'IWP04'!$K$71</definedName>
    <definedName name="Std9dot1aNotCalc" localSheetId="6">'IWP05'!$K$71</definedName>
    <definedName name="Std9dot1aNotCalc" localSheetId="7">'IWP06'!$K$71</definedName>
    <definedName name="Std9dot1aNotCalc" localSheetId="8">'IWP07'!$K$71</definedName>
    <definedName name="Std9dot1aNotCalc" localSheetId="9">'IWP08'!$K$71</definedName>
    <definedName name="Std9dot1bNotCalc" localSheetId="2">'IWP01'!$K$76</definedName>
    <definedName name="Std9dot1bNotCalc" localSheetId="3">'IWP02'!$K$76</definedName>
    <definedName name="Std9dot1bNotCalc" localSheetId="4">'IWP03'!$K$76</definedName>
    <definedName name="Std9dot1bNotCalc" localSheetId="5">'IWP04'!$K$76</definedName>
    <definedName name="Std9dot1bNotCalc" localSheetId="6">'IWP05'!$K$76</definedName>
    <definedName name="Std9dot1bNotCalc" localSheetId="7">'IWP06'!$K$76</definedName>
    <definedName name="Std9dot1bNotCalc" localSheetId="8">'IWP07'!$K$76</definedName>
    <definedName name="Std9dot1bNotCalc" localSheetId="9">'IWP08'!$K$76</definedName>
    <definedName name="Std9NsfChks" localSheetId="2">'IWP01'!$K$96</definedName>
    <definedName name="Std9NsfChks" localSheetId="3">'IWP02'!$K$96</definedName>
    <definedName name="Std9NsfChks" localSheetId="4">'IWP03'!$K$96</definedName>
    <definedName name="Std9NsfChks" localSheetId="5">'IWP04'!$K$96</definedName>
    <definedName name="Std9NsfChks" localSheetId="6">'IWP05'!$K$96</definedName>
    <definedName name="Std9NsfChks" localSheetId="7">'IWP06'!$K$96</definedName>
    <definedName name="Std9NsfChks" localSheetId="8">'IWP07'!$K$96</definedName>
    <definedName name="Std9NsfChks" localSheetId="9">'IWP08'!$K$96</definedName>
    <definedName name="Std9OvrShrtCorrctd" localSheetId="2">'IWP01'!$J$99</definedName>
    <definedName name="Std9OvrShrtCorrctd" localSheetId="3">'IWP02'!$J$99</definedName>
    <definedName name="Std9OvrShrtCorrctd" localSheetId="4">'IWP03'!$J$99</definedName>
    <definedName name="Std9OvrShrtCorrctd" localSheetId="5">'IWP04'!$J$99</definedName>
    <definedName name="Std9OvrShrtCorrctd" localSheetId="6">'IWP05'!$J$99</definedName>
    <definedName name="Std9OvrShrtCorrctd" localSheetId="7">'IWP06'!$J$99</definedName>
    <definedName name="Std9OvrShrtCorrctd" localSheetId="8">'IWP07'!$J$99</definedName>
    <definedName name="Std9OvrShrtCorrctd" localSheetId="9">'IWP08'!$J$99</definedName>
    <definedName name="Std9ShrtUnreimbSvcChg" localSheetId="2">'IWP01'!$J$100</definedName>
    <definedName name="Std9ShrtUnreimbSvcChg" localSheetId="3">'IWP02'!$J$100</definedName>
    <definedName name="Std9ShrtUnreimbSvcChg" localSheetId="4">'IWP03'!$J$100</definedName>
    <definedName name="Std9ShrtUnreimbSvcChg" localSheetId="5">'IWP04'!$J$100</definedName>
    <definedName name="Std9ShrtUnreimbSvcChg" localSheetId="6">'IWP05'!$J$100</definedName>
    <definedName name="Std9ShrtUnreimbSvcChg" localSheetId="7">'IWP06'!$J$100</definedName>
    <definedName name="Std9ShrtUnreimbSvcChg" localSheetId="8">'IWP07'!$J$100</definedName>
    <definedName name="Std9ShrtUnreimbSvcChg" localSheetId="9">'IWP08'!$J$100</definedName>
    <definedName name="Std9TotCshBnkAndHnd" localSheetId="2">'IWP01'!$K$92</definedName>
    <definedName name="Std9TotCshBnkAndHnd" localSheetId="3">'IWP02'!$K$92</definedName>
    <definedName name="Std9TotCshBnkAndHnd" localSheetId="4">'IWP03'!$K$92</definedName>
    <definedName name="Std9TotCshBnkAndHnd" localSheetId="5">'IWP04'!$K$92</definedName>
    <definedName name="Std9TotCshBnkAndHnd" localSheetId="6">'IWP05'!$K$92</definedName>
    <definedName name="Std9TotCshBnkAndHnd" localSheetId="7">'IWP06'!$K$92</definedName>
    <definedName name="Std9TotCshBnkAndHnd" localSheetId="8">'IWP07'!$K$92</definedName>
    <definedName name="Std9TotCshBnkAndHnd" localSheetId="9">'IWP08'!$K$92</definedName>
    <definedName name="Std9TotDepsInTrans" localSheetId="2">'IWP01'!$K$87</definedName>
    <definedName name="Std9TotDepsInTrans" localSheetId="3">'IWP02'!$K$87</definedName>
    <definedName name="Std9TotDepsInTrans" localSheetId="4">'IWP03'!$K$87</definedName>
    <definedName name="Std9TotDepsInTrans" localSheetId="5">'IWP04'!$K$87</definedName>
    <definedName name="Std9TotDepsInTrans" localSheetId="6">'IWP05'!$K$87</definedName>
    <definedName name="Std9TotDepsInTrans" localSheetId="7">'IWP06'!$K$87</definedName>
    <definedName name="Std9TotDepsInTrans" localSheetId="8">'IWP07'!$K$87</definedName>
    <definedName name="Std9TotDepsInTrans" localSheetId="9">'IWP08'!$K$87</definedName>
    <definedName name="Std9TotOutsChks" localSheetId="2">'IWP01'!$K$88</definedName>
    <definedName name="Std9TotOutsChks" localSheetId="3">'IWP02'!$K$88</definedName>
    <definedName name="Std9TotOutsChks" localSheetId="4">'IWP03'!$K$88</definedName>
    <definedName name="Std9TotOutsChks" localSheetId="5">'IWP04'!$K$88</definedName>
    <definedName name="Std9TotOutsChks" localSheetId="6">'IWP05'!$K$88</definedName>
    <definedName name="Std9TotOutsChks" localSheetId="7">'IWP06'!$K$88</definedName>
    <definedName name="Std9TotOutsChks" localSheetId="8">'IWP07'!$K$88</definedName>
    <definedName name="Std9TotOutsChks" localSheetId="9">'IWP08'!$K$88</definedName>
    <definedName name="Std9TotPtyCshIndv" localSheetId="2">'IWP01'!$K$90</definedName>
    <definedName name="Std9TotPtyCshIndv" localSheetId="3">'IWP02'!$K$90</definedName>
    <definedName name="Std9TotPtyCshIndv" localSheetId="4">'IWP03'!$K$90</definedName>
    <definedName name="Std9TotPtyCshIndv" localSheetId="5">'IWP04'!$K$90</definedName>
    <definedName name="Std9TotPtyCshIndv" localSheetId="6">'IWP05'!$K$90</definedName>
    <definedName name="Std9TotPtyCshIndv" localSheetId="7">'IWP06'!$K$90</definedName>
    <definedName name="Std9TotPtyCshIndv" localSheetId="8">'IWP07'!$K$90</definedName>
    <definedName name="Std9TotPtyCshIndv" localSheetId="9">'IWP08'!$K$90</definedName>
    <definedName name="Std9TotPtyCshIndvDt" localSheetId="2">'IWP01'!$G$90</definedName>
    <definedName name="Std9TotPtyCshIndvDt" localSheetId="3">'IWP02'!$G$90</definedName>
    <definedName name="Std9TotPtyCshIndvDt" localSheetId="4">'IWP03'!$G$90</definedName>
    <definedName name="Std9TotPtyCshIndvDt" localSheetId="5">'IWP04'!$G$90</definedName>
    <definedName name="Std9TotPtyCshIndvDt" localSheetId="6">'IWP05'!$G$90</definedName>
    <definedName name="Std9TotPtyCshIndvDt" localSheetId="7">'IWP06'!$G$90</definedName>
    <definedName name="Std9TotPtyCshIndvDt" localSheetId="8">'IWP07'!$G$90</definedName>
    <definedName name="Std9TotPtyCshIndvDt" localSheetId="9">'IWP08'!$G$90</definedName>
    <definedName name="Std9TrstFndAcctOvrShrt" localSheetId="2">'IWP01'!$K$98</definedName>
    <definedName name="Std9TrstFndAcctOvrShrt" localSheetId="3">'IWP02'!$K$98</definedName>
    <definedName name="Std9TrstFndAcctOvrShrt" localSheetId="4">'IWP03'!$K$98</definedName>
    <definedName name="Std9TrstFndAcctOvrShrt" localSheetId="5">'IWP04'!$K$98</definedName>
    <definedName name="Std9TrstFndAcctOvrShrt" localSheetId="6">'IWP05'!$K$98</definedName>
    <definedName name="Std9TrstFndAcctOvrShrt" localSheetId="7">'IWP06'!$K$98</definedName>
    <definedName name="Std9TrstFndAcctOvrShrt" localSheetId="8">'IWP07'!$K$98</definedName>
    <definedName name="Std9TrstFndAcctOvrShrt" localSheetId="9">'IWP08'!$K$98</definedName>
    <definedName name="Std9UnapplErndInt" localSheetId="2">'IWP01'!$K$94</definedName>
    <definedName name="Std9UnapplErndInt" localSheetId="3">'IWP02'!$K$94</definedName>
    <definedName name="Std9UnapplErndInt" localSheetId="4">'IWP03'!$K$94</definedName>
    <definedName name="Std9UnapplErndInt" localSheetId="5">'IWP04'!$K$94</definedName>
    <definedName name="Std9UnapplErndInt" localSheetId="6">'IWP05'!$K$94</definedName>
    <definedName name="Std9UnapplErndInt" localSheetId="7">'IWP06'!$K$94</definedName>
    <definedName name="Std9UnapplErndInt" localSheetId="8">'IWP07'!$K$94</definedName>
    <definedName name="Std9UnapplErndInt" localSheetId="9">'IWP08'!$K$94</definedName>
    <definedName name="Std9UnpstdRcptDsbrsmts" localSheetId="2">'IWP01'!$K$95</definedName>
    <definedName name="Std9UnpstdRcptDsbrsmts" localSheetId="3">'IWP02'!$K$95</definedName>
    <definedName name="Std9UnpstdRcptDsbrsmts" localSheetId="4">'IWP03'!$K$95</definedName>
    <definedName name="Std9UnpstdRcptDsbrsmts" localSheetId="5">'IWP04'!$K$95</definedName>
    <definedName name="Std9UnpstdRcptDsbrsmts" localSheetId="6">'IWP05'!$K$95</definedName>
    <definedName name="Std9UnpstdRcptDsbrsmts" localSheetId="7">'IWP06'!$K$95</definedName>
    <definedName name="Std9UnpstdRcptDsbrsmts" localSheetId="8">'IWP07'!$K$95</definedName>
    <definedName name="Std9UnpstdRcptDsbrsmts" localSheetId="9">'IWP08'!$K$95</definedName>
    <definedName name="TotalCBAAFC" localSheetId="14">'AFC Reimbursement'!#REF!</definedName>
    <definedName name="TotalCBAOHR" localSheetId="16">'OHR Reimbursement'!#REF!</definedName>
    <definedName name="TotalCCADAFC" localSheetId="14">'AFC Reimbursement'!#REF!</definedName>
    <definedName name="TrstFndRfndDcsdOrDschdIndv" localSheetId="12">'AFC Indiv. Fund Summary (Print)'!$B$101:$E$108</definedName>
    <definedName name="Trust_Fund_Trial_Balances">'Monitoring Workbook'!$A$299:$J$328</definedName>
    <definedName name="UnallwblWthdrwls" localSheetId="12">'AFC Indiv. Fund Summary (Print)'!$B$92:$J$99</definedName>
    <definedName name="UnauthUndocWthdrwls" localSheetId="12">'AFC Indiv. Fund Summary (Print)'!$B$82:$J$89</definedName>
    <definedName name="UnsdRmBdPrrtdCoPyDueDcsdDschdIndv" localSheetId="12">'AFC Indiv. Fund Summary (Print)'!$B$130:$E$137</definedName>
    <definedName name="XaoAfcAuthToMngMoney" localSheetId="0">Data!$A$306:$H$314</definedName>
    <definedName name="XaoAfcReimbursement" localSheetId="0">Data!#REF!</definedName>
    <definedName name="XaoBnkchgsfcltyIndvTrstFnd" localSheetId="0">Data!$A$371:$F$379</definedName>
    <definedName name="XaoBnkChgsPldTrstFndAcct" localSheetId="0">Data!$A$360:$F$368</definedName>
    <definedName name="XaoComplianceSummaries" localSheetId="0">Data!$A$301:$U$302</definedName>
    <definedName name="XaoCoPyRfndCrdtDueHsptlzdIndv" localSheetId="0">Data!$A$464:$D$472</definedName>
    <definedName name="XaoDmdForPayNotice" localSheetId="0">Data!#REF!</definedName>
    <definedName name="XaoDmdForPayNoticeTotals" localSheetId="0">Data!$A$295:$B$298</definedName>
    <definedName name="XaoDpstsIndvTrstFndOrPtyCshAcct" localSheetId="0">Data!$A$393:$D$401</definedName>
    <definedName name="XaoDpstsPldTrstFndAcct" localSheetId="0">Data!$A$382:$D$390</definedName>
    <definedName name="XaoIndvPtyCshFndRcncltn" localSheetId="0">Data!$A$322:$D$330</definedName>
    <definedName name="XaoIndvTrstFndRcncltn" localSheetId="0">Data!$A$338:$D$346</definedName>
    <definedName name="XaoIwp9dot1DepstInTransit" localSheetId="0">Data!$A$661:$C$741</definedName>
    <definedName name="XaoIwp9dot1OutstdChks" localSheetId="0">Data!$A$498:$D$658</definedName>
    <definedName name="XaoIwpData" localSheetId="0">Data!$A$487:$CZ$495</definedName>
    <definedName name="XaoIwpStd10dot3Deposits" localSheetId="0">Data!$A$744:$E$824</definedName>
    <definedName name="XaoIwpStd10dot4Wthdrwls" localSheetId="0">Data!$A$827:$E$987</definedName>
    <definedName name="XaoIwpStd10dot5Wthdrwls" localSheetId="0">Data!$A$990:$D$1070</definedName>
    <definedName name="XaoIwpStd11dot3Billing" localSheetId="0">Data!$A$1073:$I$1153</definedName>
    <definedName name="XaoMonitoringWbk" localSheetId="0">Data!$A$12:$ET$13</definedName>
    <definedName name="XaoMonWbkChksDpsts" localSheetId="0">Data!$A$16:$C$106</definedName>
    <definedName name="XaoMonWbkDpstsInTrans" localSheetId="0">Data!$A$109:$B$199</definedName>
    <definedName name="XaoMonWbkTrstFndTrlBals" localSheetId="0">Data!$A$202:$B$292</definedName>
    <definedName name="XaoOhrReimbursement" localSheetId="0">Data!#REF!</definedName>
    <definedName name="XaoOvrCollRmBdCoPayBdHld" localSheetId="0">Data!$A$453:$D$461</definedName>
    <definedName name="XaoPldPtyCshFndRcncltn" localSheetId="0">Data!$A$317:$C$319</definedName>
    <definedName name="XaoPldTrstFndAcctRcncltn" localSheetId="0">Data!$A$333:$C$335</definedName>
    <definedName name="XaoPrrtdIntPldTrstFndAcct" localSheetId="0">Data!$A$349:$F$357</definedName>
    <definedName name="XaoTrstFndRfndDcsdOrDschdIndv" localSheetId="0">Data!$A$442:$D$450</definedName>
    <definedName name="XaoUnallwblWthdrwls" localSheetId="0">Data!$A$423:$D$439</definedName>
    <definedName name="XaoUnauthUndocWthdrwls" localSheetId="0">Data!$A$404:$D$420</definedName>
    <definedName name="XaoUnsdRmBdCoPyDueDschdIndv" localSheetId="0">Data!$A$475:$D$483</definedName>
    <definedName name="Z_B71FF06E_B5A8_4FBF_B20E_2B604DE9BFBD_.wvu.Cols" localSheetId="2" hidden="1">'IWP01'!$T:$T</definedName>
    <definedName name="Z_B71FF06E_B5A8_4FBF_B20E_2B604DE9BFBD_.wvu.Cols" localSheetId="3" hidden="1">'IWP02'!$T:$T</definedName>
    <definedName name="Z_B71FF06E_B5A8_4FBF_B20E_2B604DE9BFBD_.wvu.Cols" localSheetId="4" hidden="1">'IWP03'!$T:$T</definedName>
    <definedName name="Z_B71FF06E_B5A8_4FBF_B20E_2B604DE9BFBD_.wvu.Cols" localSheetId="5" hidden="1">'IWP04'!$T:$T</definedName>
    <definedName name="Z_B71FF06E_B5A8_4FBF_B20E_2B604DE9BFBD_.wvu.Cols" localSheetId="6" hidden="1">'IWP05'!$T:$T</definedName>
    <definedName name="Z_B71FF06E_B5A8_4FBF_B20E_2B604DE9BFBD_.wvu.Cols" localSheetId="7" hidden="1">'IWP06'!$T:$T</definedName>
    <definedName name="Z_B71FF06E_B5A8_4FBF_B20E_2B604DE9BFBD_.wvu.Cols" localSheetId="8" hidden="1">'IWP07'!$T:$T</definedName>
    <definedName name="Z_B71FF06E_B5A8_4FBF_B20E_2B604DE9BFBD_.wvu.Cols" localSheetId="9" hidden="1">'IWP08'!$T:$T</definedName>
    <definedName name="Z_B71FF06E_B5A8_4FBF_B20E_2B604DE9BFBD_.wvu.PrintArea" localSheetId="17" hidden="1">'Demand for Pmt. Notice (Print)'!$A$1:$K$1017</definedName>
    <definedName name="Z_B71FF06E_B5A8_4FBF_B20E_2B604DE9BFBD_.wvu.PrintArea" localSheetId="19" hidden="1">'Notes (Print)'!$A$1:$L$29</definedName>
    <definedName name="Z_B71FF06E_B5A8_4FBF_B20E_2B604DE9BFBD_.wvu.PrintTitles" localSheetId="12" hidden="1">'AFC Indiv. Fund Summary (Print)'!$1:$8</definedName>
    <definedName name="Z_B71FF06E_B5A8_4FBF_B20E_2B604DE9BFBD_.wvu.PrintTitles" localSheetId="14" hidden="1">'AFC Reimbursement'!$1:$7</definedName>
    <definedName name="Z_B71FF06E_B5A8_4FBF_B20E_2B604DE9BFBD_.wvu.PrintTitles" localSheetId="17" hidden="1">'Demand for Pmt. Notice (Print)'!$1:$7</definedName>
    <definedName name="Z_B71FF06E_B5A8_4FBF_B20E_2B604DE9BFBD_.wvu.PrintTitles" localSheetId="2" hidden="1">'IWP01'!$1:$4</definedName>
    <definedName name="Z_B71FF06E_B5A8_4FBF_B20E_2B604DE9BFBD_.wvu.PrintTitles" localSheetId="3" hidden="1">'IWP02'!$1:$4</definedName>
    <definedName name="Z_B71FF06E_B5A8_4FBF_B20E_2B604DE9BFBD_.wvu.PrintTitles" localSheetId="4" hidden="1">'IWP03'!$1:$4</definedName>
    <definedName name="Z_B71FF06E_B5A8_4FBF_B20E_2B604DE9BFBD_.wvu.PrintTitles" localSheetId="5" hidden="1">'IWP04'!$1:$4</definedName>
    <definedName name="Z_B71FF06E_B5A8_4FBF_B20E_2B604DE9BFBD_.wvu.PrintTitles" localSheetId="6" hidden="1">'IWP05'!$1:$4</definedName>
    <definedName name="Z_B71FF06E_B5A8_4FBF_B20E_2B604DE9BFBD_.wvu.PrintTitles" localSheetId="7" hidden="1">'IWP06'!$1:$4</definedName>
    <definedName name="Z_B71FF06E_B5A8_4FBF_B20E_2B604DE9BFBD_.wvu.PrintTitles" localSheetId="8" hidden="1">'IWP07'!$1:$4</definedName>
    <definedName name="Z_B71FF06E_B5A8_4FBF_B20E_2B604DE9BFBD_.wvu.PrintTitles" localSheetId="9" hidden="1">'IWP08'!$1:$4</definedName>
    <definedName name="Z_B71FF06E_B5A8_4FBF_B20E_2B604DE9BFBD_.wvu.PrintTitles" localSheetId="1" hidden="1">'Monitoring Workbook'!$1:$7</definedName>
    <definedName name="Z_B71FF06E_B5A8_4FBF_B20E_2B604DE9BFBD_.wvu.Rows" localSheetId="12" hidden="1">'AFC Indiv. Fund Summary (Print)'!$8:$8</definedName>
    <definedName name="Z_E1D23BD2_FE11_448B_A102_D2461140BE5A_.wvu.Cols" localSheetId="2" hidden="1">'IWP01'!$T:$T</definedName>
    <definedName name="Z_E1D23BD2_FE11_448B_A102_D2461140BE5A_.wvu.Cols" localSheetId="3" hidden="1">'IWP02'!$T:$T</definedName>
    <definedName name="Z_E1D23BD2_FE11_448B_A102_D2461140BE5A_.wvu.Cols" localSheetId="4" hidden="1">'IWP03'!$T:$T</definedName>
    <definedName name="Z_E1D23BD2_FE11_448B_A102_D2461140BE5A_.wvu.Cols" localSheetId="5" hidden="1">'IWP04'!$T:$T</definedName>
    <definedName name="Z_E1D23BD2_FE11_448B_A102_D2461140BE5A_.wvu.Cols" localSheetId="6" hidden="1">'IWP05'!$T:$T</definedName>
    <definedName name="Z_E1D23BD2_FE11_448B_A102_D2461140BE5A_.wvu.Cols" localSheetId="7" hidden="1">'IWP06'!$T:$T</definedName>
    <definedName name="Z_E1D23BD2_FE11_448B_A102_D2461140BE5A_.wvu.Cols" localSheetId="8" hidden="1">'IWP07'!$T:$T</definedName>
    <definedName name="Z_E1D23BD2_FE11_448B_A102_D2461140BE5A_.wvu.Cols" localSheetId="9" hidden="1">'IWP08'!$T:$T</definedName>
    <definedName name="Z_E1D23BD2_FE11_448B_A102_D2461140BE5A_.wvu.PrintArea" localSheetId="17" hidden="1">'Demand for Pmt. Notice (Print)'!$A$1:$K$1017</definedName>
    <definedName name="Z_E1D23BD2_FE11_448B_A102_D2461140BE5A_.wvu.PrintArea" localSheetId="19" hidden="1">'Notes (Print)'!$A$1:$L$29</definedName>
    <definedName name="Z_E1D23BD2_FE11_448B_A102_D2461140BE5A_.wvu.PrintTitles" localSheetId="12" hidden="1">'AFC Indiv. Fund Summary (Print)'!$1:$8</definedName>
    <definedName name="Z_E1D23BD2_FE11_448B_A102_D2461140BE5A_.wvu.PrintTitles" localSheetId="14" hidden="1">'AFC Reimbursement'!$1:$7</definedName>
    <definedName name="Z_E1D23BD2_FE11_448B_A102_D2461140BE5A_.wvu.PrintTitles" localSheetId="17" hidden="1">'Demand for Pmt. Notice (Print)'!$1:$7</definedName>
    <definedName name="Z_E1D23BD2_FE11_448B_A102_D2461140BE5A_.wvu.PrintTitles" localSheetId="2" hidden="1">'IWP01'!$1:$4</definedName>
    <definedName name="Z_E1D23BD2_FE11_448B_A102_D2461140BE5A_.wvu.PrintTitles" localSheetId="3" hidden="1">'IWP02'!$1:$4</definedName>
    <definedName name="Z_E1D23BD2_FE11_448B_A102_D2461140BE5A_.wvu.PrintTitles" localSheetId="4" hidden="1">'IWP03'!$1:$4</definedName>
    <definedName name="Z_E1D23BD2_FE11_448B_A102_D2461140BE5A_.wvu.PrintTitles" localSheetId="5" hidden="1">'IWP04'!$1:$4</definedName>
    <definedName name="Z_E1D23BD2_FE11_448B_A102_D2461140BE5A_.wvu.PrintTitles" localSheetId="6" hidden="1">'IWP05'!$1:$4</definedName>
    <definedName name="Z_E1D23BD2_FE11_448B_A102_D2461140BE5A_.wvu.PrintTitles" localSheetId="7" hidden="1">'IWP06'!$1:$4</definedName>
    <definedName name="Z_E1D23BD2_FE11_448B_A102_D2461140BE5A_.wvu.PrintTitles" localSheetId="8" hidden="1">'IWP07'!$1:$4</definedName>
    <definedName name="Z_E1D23BD2_FE11_448B_A102_D2461140BE5A_.wvu.PrintTitles" localSheetId="9" hidden="1">'IWP08'!$1:$4</definedName>
    <definedName name="Z_E1D23BD2_FE11_448B_A102_D2461140BE5A_.wvu.PrintTitles" localSheetId="1" hidden="1">'Monitoring Workbook'!$1:$7</definedName>
    <definedName name="Z_E1D23BD2_FE11_448B_A102_D2461140BE5A_.wvu.Rows" localSheetId="12" hidden="1">'AFC Indiv. Fund Summary (Print)'!$8:$8</definedName>
  </definedNames>
  <calcPr calcId="191029"/>
  <customWorkbookViews>
    <customWorkbookView name="Nelson,Rose M (HHSC) - Personal View" guid="{E1D23BD2-FE11-448B-A102-D2461140BE5A}" mergeInterval="0" personalView="1" maximized="1" xWindow="-11" yWindow="-11" windowWidth="1942" windowHeight="1042" tabRatio="815" activeSheetId="2"/>
    <customWorkbookView name="Crawford,Leveta (DADS) - Personal View" guid="{B71FF06E-B5A8-4FBF-B20E-2B604DE9BFBD}" mergeInterval="0" personalView="1" maximized="1" windowWidth="1424" windowHeight="563" tabRatio="81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20" l="1"/>
  <c r="I2" i="11"/>
  <c r="D1" i="1"/>
  <c r="Y13" i="1" l="1"/>
  <c r="W13" i="1"/>
  <c r="Q13" i="1"/>
  <c r="X13" i="1" l="1"/>
  <c r="I45" i="2"/>
  <c r="G45" i="2"/>
  <c r="AB495" i="1" l="1"/>
  <c r="AB494" i="1"/>
  <c r="AB493" i="1"/>
  <c r="AB492" i="1"/>
  <c r="AB491" i="1"/>
  <c r="AB490" i="1"/>
  <c r="AB489" i="1"/>
  <c r="AB488" i="1"/>
  <c r="AA495" i="1"/>
  <c r="AA494" i="1"/>
  <c r="AA493" i="1"/>
  <c r="AA492" i="1"/>
  <c r="AA491" i="1"/>
  <c r="AA490" i="1"/>
  <c r="AA489" i="1"/>
  <c r="AA488" i="1"/>
  <c r="AC488" i="1"/>
  <c r="AC489" i="1"/>
  <c r="AC490" i="1"/>
  <c r="AC491" i="1"/>
  <c r="AC492" i="1"/>
  <c r="AC493" i="1"/>
  <c r="AC494" i="1"/>
  <c r="AC495" i="1"/>
  <c r="U13" i="1"/>
  <c r="T13" i="1"/>
  <c r="V13" i="1"/>
  <c r="Z13" i="1"/>
  <c r="S13" i="1"/>
  <c r="R13" i="1"/>
  <c r="I1153" i="1"/>
  <c r="H1153" i="1"/>
  <c r="F1153" i="1"/>
  <c r="E1153" i="1"/>
  <c r="D1153" i="1"/>
  <c r="C1153" i="1"/>
  <c r="B1153" i="1"/>
  <c r="I1152" i="1"/>
  <c r="H1152" i="1"/>
  <c r="F1152" i="1"/>
  <c r="E1152" i="1"/>
  <c r="D1152" i="1"/>
  <c r="C1152" i="1"/>
  <c r="B1152" i="1"/>
  <c r="I1151" i="1"/>
  <c r="H1151" i="1"/>
  <c r="F1151" i="1"/>
  <c r="E1151" i="1"/>
  <c r="D1151" i="1"/>
  <c r="C1151" i="1"/>
  <c r="B1151" i="1"/>
  <c r="I1150" i="1"/>
  <c r="H1150" i="1"/>
  <c r="F1150" i="1"/>
  <c r="E1150" i="1"/>
  <c r="D1150" i="1"/>
  <c r="C1150" i="1"/>
  <c r="B1150" i="1"/>
  <c r="I1149" i="1"/>
  <c r="H1149" i="1"/>
  <c r="F1149" i="1"/>
  <c r="E1149" i="1"/>
  <c r="D1149" i="1"/>
  <c r="C1149" i="1"/>
  <c r="B1149" i="1"/>
  <c r="I1148" i="1"/>
  <c r="H1148" i="1"/>
  <c r="F1148" i="1"/>
  <c r="E1148" i="1"/>
  <c r="D1148" i="1"/>
  <c r="C1148" i="1"/>
  <c r="B1148" i="1"/>
  <c r="I1147" i="1"/>
  <c r="H1147" i="1"/>
  <c r="F1147" i="1"/>
  <c r="E1147" i="1"/>
  <c r="D1147" i="1"/>
  <c r="C1147" i="1"/>
  <c r="B1147" i="1"/>
  <c r="I1146" i="1"/>
  <c r="H1146" i="1"/>
  <c r="F1146" i="1"/>
  <c r="E1146" i="1"/>
  <c r="D1146" i="1"/>
  <c r="C1146" i="1"/>
  <c r="B1146" i="1"/>
  <c r="I1145" i="1"/>
  <c r="H1145" i="1"/>
  <c r="F1145" i="1"/>
  <c r="E1145" i="1"/>
  <c r="D1145" i="1"/>
  <c r="C1145" i="1"/>
  <c r="B1145" i="1"/>
  <c r="I1144" i="1"/>
  <c r="H1144" i="1"/>
  <c r="F1144" i="1"/>
  <c r="E1144" i="1"/>
  <c r="D1144" i="1"/>
  <c r="C1144" i="1"/>
  <c r="B1144" i="1"/>
  <c r="I1143" i="1"/>
  <c r="H1143" i="1"/>
  <c r="F1143" i="1"/>
  <c r="E1143" i="1"/>
  <c r="D1143" i="1"/>
  <c r="C1143" i="1"/>
  <c r="B1143" i="1"/>
  <c r="I1142" i="1"/>
  <c r="H1142" i="1"/>
  <c r="F1142" i="1"/>
  <c r="E1142" i="1"/>
  <c r="D1142" i="1"/>
  <c r="C1142" i="1"/>
  <c r="B1142" i="1"/>
  <c r="I1141" i="1"/>
  <c r="H1141" i="1"/>
  <c r="F1141" i="1"/>
  <c r="E1141" i="1"/>
  <c r="D1141" i="1"/>
  <c r="C1141" i="1"/>
  <c r="B1141" i="1"/>
  <c r="I1140" i="1"/>
  <c r="H1140" i="1"/>
  <c r="F1140" i="1"/>
  <c r="E1140" i="1"/>
  <c r="D1140" i="1"/>
  <c r="C1140" i="1"/>
  <c r="B1140" i="1"/>
  <c r="I1139" i="1"/>
  <c r="H1139" i="1"/>
  <c r="F1139" i="1"/>
  <c r="E1139" i="1"/>
  <c r="D1139" i="1"/>
  <c r="C1139" i="1"/>
  <c r="B1139" i="1"/>
  <c r="I1138" i="1"/>
  <c r="H1138" i="1"/>
  <c r="F1138" i="1"/>
  <c r="E1138" i="1"/>
  <c r="D1138" i="1"/>
  <c r="C1138" i="1"/>
  <c r="B1138" i="1"/>
  <c r="I1137" i="1"/>
  <c r="H1137" i="1"/>
  <c r="F1137" i="1"/>
  <c r="E1137" i="1"/>
  <c r="D1137" i="1"/>
  <c r="C1137" i="1"/>
  <c r="B1137" i="1"/>
  <c r="I1136" i="1"/>
  <c r="H1136" i="1"/>
  <c r="F1136" i="1"/>
  <c r="E1136" i="1"/>
  <c r="D1136" i="1"/>
  <c r="C1136" i="1"/>
  <c r="B1136" i="1"/>
  <c r="I1135" i="1"/>
  <c r="H1135" i="1"/>
  <c r="F1135" i="1"/>
  <c r="E1135" i="1"/>
  <c r="D1135" i="1"/>
  <c r="C1135" i="1"/>
  <c r="B1135" i="1"/>
  <c r="I1134" i="1"/>
  <c r="H1134" i="1"/>
  <c r="F1134" i="1"/>
  <c r="E1134" i="1"/>
  <c r="D1134" i="1"/>
  <c r="C1134" i="1"/>
  <c r="B1134" i="1"/>
  <c r="I1133" i="1"/>
  <c r="H1133" i="1"/>
  <c r="F1133" i="1"/>
  <c r="E1133" i="1"/>
  <c r="D1133" i="1"/>
  <c r="C1133" i="1"/>
  <c r="B1133" i="1"/>
  <c r="I1132" i="1"/>
  <c r="H1132" i="1"/>
  <c r="F1132" i="1"/>
  <c r="E1132" i="1"/>
  <c r="D1132" i="1"/>
  <c r="C1132" i="1"/>
  <c r="B1132" i="1"/>
  <c r="I1131" i="1"/>
  <c r="H1131" i="1"/>
  <c r="F1131" i="1"/>
  <c r="E1131" i="1"/>
  <c r="D1131" i="1"/>
  <c r="C1131" i="1"/>
  <c r="B1131" i="1"/>
  <c r="I1130" i="1"/>
  <c r="H1130" i="1"/>
  <c r="F1130" i="1"/>
  <c r="E1130" i="1"/>
  <c r="D1130" i="1"/>
  <c r="C1130" i="1"/>
  <c r="B1130" i="1"/>
  <c r="I1129" i="1"/>
  <c r="H1129" i="1"/>
  <c r="F1129" i="1"/>
  <c r="E1129" i="1"/>
  <c r="D1129" i="1"/>
  <c r="C1129" i="1"/>
  <c r="B1129" i="1"/>
  <c r="I1128" i="1"/>
  <c r="H1128" i="1"/>
  <c r="F1128" i="1"/>
  <c r="E1128" i="1"/>
  <c r="D1128" i="1"/>
  <c r="C1128" i="1"/>
  <c r="B1128" i="1"/>
  <c r="I1127" i="1"/>
  <c r="H1127" i="1"/>
  <c r="F1127" i="1"/>
  <c r="E1127" i="1"/>
  <c r="D1127" i="1"/>
  <c r="C1127" i="1"/>
  <c r="B1127" i="1"/>
  <c r="I1126" i="1"/>
  <c r="H1126" i="1"/>
  <c r="F1126" i="1"/>
  <c r="E1126" i="1"/>
  <c r="D1126" i="1"/>
  <c r="C1126" i="1"/>
  <c r="B1126" i="1"/>
  <c r="I1125" i="1"/>
  <c r="H1125" i="1"/>
  <c r="F1125" i="1"/>
  <c r="E1125" i="1"/>
  <c r="D1125" i="1"/>
  <c r="C1125" i="1"/>
  <c r="B1125" i="1"/>
  <c r="I1124" i="1"/>
  <c r="H1124" i="1"/>
  <c r="F1124" i="1"/>
  <c r="E1124" i="1"/>
  <c r="D1124" i="1"/>
  <c r="C1124" i="1"/>
  <c r="B1124" i="1"/>
  <c r="I1123" i="1"/>
  <c r="H1123" i="1"/>
  <c r="F1123" i="1"/>
  <c r="E1123" i="1"/>
  <c r="D1123" i="1"/>
  <c r="C1123" i="1"/>
  <c r="B1123" i="1"/>
  <c r="I1122" i="1"/>
  <c r="H1122" i="1"/>
  <c r="F1122" i="1"/>
  <c r="E1122" i="1"/>
  <c r="D1122" i="1"/>
  <c r="C1122" i="1"/>
  <c r="B1122" i="1"/>
  <c r="I1121" i="1"/>
  <c r="H1121" i="1"/>
  <c r="F1121" i="1"/>
  <c r="E1121" i="1"/>
  <c r="D1121" i="1"/>
  <c r="C1121" i="1"/>
  <c r="B1121" i="1"/>
  <c r="I1120" i="1"/>
  <c r="H1120" i="1"/>
  <c r="F1120" i="1"/>
  <c r="E1120" i="1"/>
  <c r="D1120" i="1"/>
  <c r="C1120" i="1"/>
  <c r="B1120" i="1"/>
  <c r="I1119" i="1"/>
  <c r="H1119" i="1"/>
  <c r="F1119" i="1"/>
  <c r="E1119" i="1"/>
  <c r="D1119" i="1"/>
  <c r="C1119" i="1"/>
  <c r="B1119" i="1"/>
  <c r="I1118" i="1"/>
  <c r="H1118" i="1"/>
  <c r="F1118" i="1"/>
  <c r="E1118" i="1"/>
  <c r="D1118" i="1"/>
  <c r="C1118" i="1"/>
  <c r="B1118" i="1"/>
  <c r="I1117" i="1"/>
  <c r="H1117" i="1"/>
  <c r="F1117" i="1"/>
  <c r="E1117" i="1"/>
  <c r="D1117" i="1"/>
  <c r="C1117" i="1"/>
  <c r="B1117" i="1"/>
  <c r="I1116" i="1"/>
  <c r="H1116" i="1"/>
  <c r="F1116" i="1"/>
  <c r="E1116" i="1"/>
  <c r="D1116" i="1"/>
  <c r="C1116" i="1"/>
  <c r="B1116" i="1"/>
  <c r="I1115" i="1"/>
  <c r="H1115" i="1"/>
  <c r="F1115" i="1"/>
  <c r="E1115" i="1"/>
  <c r="D1115" i="1"/>
  <c r="C1115" i="1"/>
  <c r="B1115" i="1"/>
  <c r="I1114" i="1"/>
  <c r="H1114" i="1"/>
  <c r="F1114" i="1"/>
  <c r="E1114" i="1"/>
  <c r="D1114" i="1"/>
  <c r="C1114" i="1"/>
  <c r="B1114" i="1"/>
  <c r="I1113" i="1"/>
  <c r="H1113" i="1"/>
  <c r="F1113" i="1"/>
  <c r="E1113" i="1"/>
  <c r="D1113" i="1"/>
  <c r="C1113" i="1"/>
  <c r="B1113" i="1"/>
  <c r="I1112" i="1"/>
  <c r="H1112" i="1"/>
  <c r="F1112" i="1"/>
  <c r="E1112" i="1"/>
  <c r="D1112" i="1"/>
  <c r="C1112" i="1"/>
  <c r="B1112" i="1"/>
  <c r="I1111" i="1"/>
  <c r="H1111" i="1"/>
  <c r="F1111" i="1"/>
  <c r="E1111" i="1"/>
  <c r="D1111" i="1"/>
  <c r="C1111" i="1"/>
  <c r="B1111" i="1"/>
  <c r="I1110" i="1"/>
  <c r="H1110" i="1"/>
  <c r="F1110" i="1"/>
  <c r="E1110" i="1"/>
  <c r="D1110" i="1"/>
  <c r="C1110" i="1"/>
  <c r="B1110" i="1"/>
  <c r="I1109" i="1"/>
  <c r="H1109" i="1"/>
  <c r="F1109" i="1"/>
  <c r="E1109" i="1"/>
  <c r="D1109" i="1"/>
  <c r="C1109" i="1"/>
  <c r="B1109" i="1"/>
  <c r="I1108" i="1"/>
  <c r="H1108" i="1"/>
  <c r="F1108" i="1"/>
  <c r="E1108" i="1"/>
  <c r="D1108" i="1"/>
  <c r="C1108" i="1"/>
  <c r="B1108" i="1"/>
  <c r="I1107" i="1"/>
  <c r="H1107" i="1"/>
  <c r="F1107" i="1"/>
  <c r="E1107" i="1"/>
  <c r="D1107" i="1"/>
  <c r="C1107" i="1"/>
  <c r="B1107" i="1"/>
  <c r="I1106" i="1"/>
  <c r="H1106" i="1"/>
  <c r="F1106" i="1"/>
  <c r="E1106" i="1"/>
  <c r="D1106" i="1"/>
  <c r="C1106" i="1"/>
  <c r="B1106" i="1"/>
  <c r="I1105" i="1"/>
  <c r="H1105" i="1"/>
  <c r="F1105" i="1"/>
  <c r="E1105" i="1"/>
  <c r="D1105" i="1"/>
  <c r="C1105" i="1"/>
  <c r="B1105" i="1"/>
  <c r="I1104" i="1"/>
  <c r="H1104" i="1"/>
  <c r="F1104" i="1"/>
  <c r="E1104" i="1"/>
  <c r="D1104" i="1"/>
  <c r="C1104" i="1"/>
  <c r="B1104" i="1"/>
  <c r="I1103" i="1"/>
  <c r="H1103" i="1"/>
  <c r="F1103" i="1"/>
  <c r="E1103" i="1"/>
  <c r="D1103" i="1"/>
  <c r="C1103" i="1"/>
  <c r="B1103" i="1"/>
  <c r="I1102" i="1"/>
  <c r="H1102" i="1"/>
  <c r="F1102" i="1"/>
  <c r="E1102" i="1"/>
  <c r="D1102" i="1"/>
  <c r="C1102" i="1"/>
  <c r="B1102" i="1"/>
  <c r="I1101" i="1"/>
  <c r="H1101" i="1"/>
  <c r="F1101" i="1"/>
  <c r="E1101" i="1"/>
  <c r="D1101" i="1"/>
  <c r="C1101" i="1"/>
  <c r="B1101" i="1"/>
  <c r="I1100" i="1"/>
  <c r="H1100" i="1"/>
  <c r="F1100" i="1"/>
  <c r="E1100" i="1"/>
  <c r="D1100" i="1"/>
  <c r="C1100" i="1"/>
  <c r="B1100" i="1"/>
  <c r="I1099" i="1"/>
  <c r="H1099" i="1"/>
  <c r="F1099" i="1"/>
  <c r="E1099" i="1"/>
  <c r="D1099" i="1"/>
  <c r="C1099" i="1"/>
  <c r="B1099" i="1"/>
  <c r="I1098" i="1"/>
  <c r="H1098" i="1"/>
  <c r="F1098" i="1"/>
  <c r="E1098" i="1"/>
  <c r="D1098" i="1"/>
  <c r="C1098" i="1"/>
  <c r="B1098" i="1"/>
  <c r="I1097" i="1"/>
  <c r="H1097" i="1"/>
  <c r="F1097" i="1"/>
  <c r="E1097" i="1"/>
  <c r="D1097" i="1"/>
  <c r="C1097" i="1"/>
  <c r="B1097" i="1"/>
  <c r="I1096" i="1"/>
  <c r="H1096" i="1"/>
  <c r="F1096" i="1"/>
  <c r="E1096" i="1"/>
  <c r="D1096" i="1"/>
  <c r="C1096" i="1"/>
  <c r="B1096" i="1"/>
  <c r="I1095" i="1"/>
  <c r="H1095" i="1"/>
  <c r="F1095" i="1"/>
  <c r="E1095" i="1"/>
  <c r="D1095" i="1"/>
  <c r="C1095" i="1"/>
  <c r="B1095" i="1"/>
  <c r="I1094" i="1"/>
  <c r="H1094" i="1"/>
  <c r="F1094" i="1"/>
  <c r="E1094" i="1"/>
  <c r="D1094" i="1"/>
  <c r="C1094" i="1"/>
  <c r="B1094" i="1"/>
  <c r="I1093" i="1"/>
  <c r="H1093" i="1"/>
  <c r="F1093" i="1"/>
  <c r="E1093" i="1"/>
  <c r="D1093" i="1"/>
  <c r="C1093" i="1"/>
  <c r="B1093" i="1"/>
  <c r="I1092" i="1"/>
  <c r="H1092" i="1"/>
  <c r="F1092" i="1"/>
  <c r="E1092" i="1"/>
  <c r="D1092" i="1"/>
  <c r="C1092" i="1"/>
  <c r="B1092" i="1"/>
  <c r="I1091" i="1"/>
  <c r="H1091" i="1"/>
  <c r="F1091" i="1"/>
  <c r="E1091" i="1"/>
  <c r="D1091" i="1"/>
  <c r="C1091" i="1"/>
  <c r="B1091" i="1"/>
  <c r="I1090" i="1"/>
  <c r="H1090" i="1"/>
  <c r="F1090" i="1"/>
  <c r="E1090" i="1"/>
  <c r="D1090" i="1"/>
  <c r="C1090" i="1"/>
  <c r="B1090" i="1"/>
  <c r="I1089" i="1"/>
  <c r="H1089" i="1"/>
  <c r="F1089" i="1"/>
  <c r="E1089" i="1"/>
  <c r="D1089" i="1"/>
  <c r="C1089" i="1"/>
  <c r="B1089" i="1"/>
  <c r="I1088" i="1"/>
  <c r="H1088" i="1"/>
  <c r="F1088" i="1"/>
  <c r="E1088" i="1"/>
  <c r="D1088" i="1"/>
  <c r="C1088" i="1"/>
  <c r="B1088" i="1"/>
  <c r="I1087" i="1"/>
  <c r="H1087" i="1"/>
  <c r="F1087" i="1"/>
  <c r="E1087" i="1"/>
  <c r="D1087" i="1"/>
  <c r="C1087" i="1"/>
  <c r="B1087" i="1"/>
  <c r="I1086" i="1"/>
  <c r="H1086" i="1"/>
  <c r="F1086" i="1"/>
  <c r="E1086" i="1"/>
  <c r="D1086" i="1"/>
  <c r="C1086" i="1"/>
  <c r="B1086" i="1"/>
  <c r="I1085" i="1"/>
  <c r="H1085" i="1"/>
  <c r="F1085" i="1"/>
  <c r="E1085" i="1"/>
  <c r="D1085" i="1"/>
  <c r="C1085" i="1"/>
  <c r="B1085" i="1"/>
  <c r="I1084" i="1"/>
  <c r="H1084" i="1"/>
  <c r="F1084" i="1"/>
  <c r="E1084" i="1"/>
  <c r="D1084" i="1"/>
  <c r="C1084" i="1"/>
  <c r="B1084" i="1"/>
  <c r="D1070" i="1"/>
  <c r="C1070" i="1"/>
  <c r="B1070" i="1"/>
  <c r="D1069" i="1"/>
  <c r="C1069" i="1"/>
  <c r="B1069" i="1"/>
  <c r="D1068" i="1"/>
  <c r="C1068" i="1"/>
  <c r="B1068" i="1"/>
  <c r="D1067" i="1"/>
  <c r="C1067" i="1"/>
  <c r="B1067" i="1"/>
  <c r="D1066" i="1"/>
  <c r="C1066" i="1"/>
  <c r="B1066" i="1"/>
  <c r="D1065" i="1"/>
  <c r="C1065" i="1"/>
  <c r="B1065" i="1"/>
  <c r="D1064" i="1"/>
  <c r="C1064" i="1"/>
  <c r="B1064" i="1"/>
  <c r="D1063" i="1"/>
  <c r="C1063" i="1"/>
  <c r="B1063" i="1"/>
  <c r="D1062" i="1"/>
  <c r="C1062" i="1"/>
  <c r="B1062" i="1"/>
  <c r="D1061" i="1"/>
  <c r="C1061" i="1"/>
  <c r="B1061" i="1"/>
  <c r="D1060" i="1"/>
  <c r="C1060" i="1"/>
  <c r="B1060" i="1"/>
  <c r="D1059" i="1"/>
  <c r="C1059" i="1"/>
  <c r="B1059" i="1"/>
  <c r="D1058" i="1"/>
  <c r="C1058" i="1"/>
  <c r="B1058" i="1"/>
  <c r="D1057" i="1"/>
  <c r="C1057" i="1"/>
  <c r="B1057" i="1"/>
  <c r="D1056" i="1"/>
  <c r="C1056" i="1"/>
  <c r="B1056" i="1"/>
  <c r="D1055" i="1"/>
  <c r="C1055" i="1"/>
  <c r="B1055" i="1"/>
  <c r="D1054" i="1"/>
  <c r="C1054" i="1"/>
  <c r="B1054" i="1"/>
  <c r="D1053" i="1"/>
  <c r="C1053" i="1"/>
  <c r="B1053" i="1"/>
  <c r="D1052" i="1"/>
  <c r="C1052" i="1"/>
  <c r="B1052" i="1"/>
  <c r="D1051" i="1"/>
  <c r="C1051" i="1"/>
  <c r="B1051" i="1"/>
  <c r="D1050" i="1"/>
  <c r="C1050" i="1"/>
  <c r="B1050" i="1"/>
  <c r="D1049" i="1"/>
  <c r="C1049" i="1"/>
  <c r="B1049" i="1"/>
  <c r="D1048" i="1"/>
  <c r="C1048" i="1"/>
  <c r="B1048" i="1"/>
  <c r="D1047" i="1"/>
  <c r="C1047" i="1"/>
  <c r="B1047" i="1"/>
  <c r="D1046" i="1"/>
  <c r="C1046" i="1"/>
  <c r="B1046" i="1"/>
  <c r="D1045" i="1"/>
  <c r="C1045" i="1"/>
  <c r="B1045" i="1"/>
  <c r="D1044" i="1"/>
  <c r="C1044" i="1"/>
  <c r="B1044" i="1"/>
  <c r="D1043" i="1"/>
  <c r="C1043" i="1"/>
  <c r="B1043" i="1"/>
  <c r="D1042" i="1"/>
  <c r="C1042" i="1"/>
  <c r="B1042" i="1"/>
  <c r="D1041" i="1"/>
  <c r="C1041" i="1"/>
  <c r="B1041" i="1"/>
  <c r="D1040" i="1"/>
  <c r="C1040" i="1"/>
  <c r="B1040" i="1"/>
  <c r="D1039" i="1"/>
  <c r="C1039" i="1"/>
  <c r="B1039" i="1"/>
  <c r="D1038" i="1"/>
  <c r="C1038" i="1"/>
  <c r="B1038" i="1"/>
  <c r="D1037" i="1"/>
  <c r="C1037" i="1"/>
  <c r="B1037" i="1"/>
  <c r="D1036" i="1"/>
  <c r="C1036" i="1"/>
  <c r="B1036" i="1"/>
  <c r="D1035" i="1"/>
  <c r="C1035" i="1"/>
  <c r="B1035" i="1"/>
  <c r="D1034" i="1"/>
  <c r="C1034" i="1"/>
  <c r="B1034" i="1"/>
  <c r="D1033" i="1"/>
  <c r="C1033" i="1"/>
  <c r="B1033" i="1"/>
  <c r="D1032" i="1"/>
  <c r="C1032" i="1"/>
  <c r="B1032" i="1"/>
  <c r="D1031" i="1"/>
  <c r="C1031" i="1"/>
  <c r="B1031" i="1"/>
  <c r="D1030" i="1"/>
  <c r="C1030" i="1"/>
  <c r="B1030" i="1"/>
  <c r="D1029" i="1"/>
  <c r="C1029" i="1"/>
  <c r="B1029" i="1"/>
  <c r="D1028" i="1"/>
  <c r="C1028" i="1"/>
  <c r="B1028" i="1"/>
  <c r="D1027" i="1"/>
  <c r="C1027" i="1"/>
  <c r="B1027" i="1"/>
  <c r="D1026" i="1"/>
  <c r="C1026" i="1"/>
  <c r="B1026" i="1"/>
  <c r="D1025" i="1"/>
  <c r="C1025" i="1"/>
  <c r="B1025" i="1"/>
  <c r="D1024" i="1"/>
  <c r="C1024" i="1"/>
  <c r="B1024" i="1"/>
  <c r="D1023" i="1"/>
  <c r="C1023" i="1"/>
  <c r="B1023" i="1"/>
  <c r="D1022" i="1"/>
  <c r="C1022" i="1"/>
  <c r="B1022" i="1"/>
  <c r="D1021" i="1"/>
  <c r="C1021" i="1"/>
  <c r="B1021" i="1"/>
  <c r="D1020" i="1"/>
  <c r="C1020" i="1"/>
  <c r="B1020" i="1"/>
  <c r="D1019" i="1"/>
  <c r="C1019" i="1"/>
  <c r="B1019" i="1"/>
  <c r="D1018" i="1"/>
  <c r="C1018" i="1"/>
  <c r="B1018" i="1"/>
  <c r="D1017" i="1"/>
  <c r="C1017" i="1"/>
  <c r="B1017" i="1"/>
  <c r="D1016" i="1"/>
  <c r="C1016" i="1"/>
  <c r="B1016" i="1"/>
  <c r="D1015" i="1"/>
  <c r="C1015" i="1"/>
  <c r="B1015" i="1"/>
  <c r="D1014" i="1"/>
  <c r="C1014" i="1"/>
  <c r="B1014" i="1"/>
  <c r="D1013" i="1"/>
  <c r="C1013" i="1"/>
  <c r="B1013" i="1"/>
  <c r="D1012" i="1"/>
  <c r="C1012" i="1"/>
  <c r="B1012" i="1"/>
  <c r="D1011" i="1"/>
  <c r="C1011" i="1"/>
  <c r="B1011" i="1"/>
  <c r="D1010" i="1"/>
  <c r="C1010" i="1"/>
  <c r="B1010" i="1"/>
  <c r="D1009" i="1"/>
  <c r="C1009" i="1"/>
  <c r="B1009" i="1"/>
  <c r="D1008" i="1"/>
  <c r="C1008" i="1"/>
  <c r="B1008" i="1"/>
  <c r="D1007" i="1"/>
  <c r="C1007" i="1"/>
  <c r="B1007" i="1"/>
  <c r="D1006" i="1"/>
  <c r="C1006" i="1"/>
  <c r="B1006" i="1"/>
  <c r="D1005" i="1"/>
  <c r="C1005" i="1"/>
  <c r="B1005" i="1"/>
  <c r="D1004" i="1"/>
  <c r="C1004" i="1"/>
  <c r="B1004" i="1"/>
  <c r="D1003" i="1"/>
  <c r="C1003" i="1"/>
  <c r="B1003" i="1"/>
  <c r="D1002" i="1"/>
  <c r="C1002" i="1"/>
  <c r="B1002" i="1"/>
  <c r="D1001" i="1"/>
  <c r="C1001" i="1"/>
  <c r="B1001" i="1"/>
  <c r="E987" i="1"/>
  <c r="D987" i="1"/>
  <c r="C987" i="1"/>
  <c r="B987" i="1"/>
  <c r="E986" i="1"/>
  <c r="D986" i="1"/>
  <c r="C986" i="1"/>
  <c r="B986" i="1"/>
  <c r="E985" i="1"/>
  <c r="D985" i="1"/>
  <c r="C985" i="1"/>
  <c r="B985" i="1"/>
  <c r="E984" i="1"/>
  <c r="D984" i="1"/>
  <c r="C984" i="1"/>
  <c r="B984" i="1"/>
  <c r="E983" i="1"/>
  <c r="D983" i="1"/>
  <c r="C983" i="1"/>
  <c r="B983" i="1"/>
  <c r="E982" i="1"/>
  <c r="D982" i="1"/>
  <c r="C982" i="1"/>
  <c r="B982" i="1"/>
  <c r="E981" i="1"/>
  <c r="D981" i="1"/>
  <c r="C981" i="1"/>
  <c r="B981" i="1"/>
  <c r="E980" i="1"/>
  <c r="D980" i="1"/>
  <c r="C980" i="1"/>
  <c r="B980" i="1"/>
  <c r="E979" i="1"/>
  <c r="D979" i="1"/>
  <c r="C979" i="1"/>
  <c r="B979" i="1"/>
  <c r="E978" i="1"/>
  <c r="D978" i="1"/>
  <c r="C978" i="1"/>
  <c r="B978" i="1"/>
  <c r="E977" i="1"/>
  <c r="D977" i="1"/>
  <c r="C977" i="1"/>
  <c r="B977" i="1"/>
  <c r="E976" i="1"/>
  <c r="D976" i="1"/>
  <c r="C976" i="1"/>
  <c r="B976" i="1"/>
  <c r="E975" i="1"/>
  <c r="D975" i="1"/>
  <c r="C975" i="1"/>
  <c r="B975" i="1"/>
  <c r="E974" i="1"/>
  <c r="D974" i="1"/>
  <c r="C974" i="1"/>
  <c r="B974" i="1"/>
  <c r="E973" i="1"/>
  <c r="D973" i="1"/>
  <c r="C973" i="1"/>
  <c r="B973" i="1"/>
  <c r="E972" i="1"/>
  <c r="D972" i="1"/>
  <c r="C972" i="1"/>
  <c r="B972" i="1"/>
  <c r="E971" i="1"/>
  <c r="D971" i="1"/>
  <c r="C971" i="1"/>
  <c r="B971" i="1"/>
  <c r="E970" i="1"/>
  <c r="D970" i="1"/>
  <c r="C970" i="1"/>
  <c r="B970" i="1"/>
  <c r="E969" i="1"/>
  <c r="D969" i="1"/>
  <c r="C969" i="1"/>
  <c r="B969" i="1"/>
  <c r="E968" i="1"/>
  <c r="D968" i="1"/>
  <c r="C968" i="1"/>
  <c r="B968" i="1"/>
  <c r="E967" i="1"/>
  <c r="D967" i="1"/>
  <c r="C967" i="1"/>
  <c r="B967" i="1"/>
  <c r="E966" i="1"/>
  <c r="D966" i="1"/>
  <c r="C966" i="1"/>
  <c r="B966" i="1"/>
  <c r="E965" i="1"/>
  <c r="D965" i="1"/>
  <c r="C965" i="1"/>
  <c r="B965" i="1"/>
  <c r="E964" i="1"/>
  <c r="D964" i="1"/>
  <c r="C964" i="1"/>
  <c r="B964" i="1"/>
  <c r="E963" i="1"/>
  <c r="D963" i="1"/>
  <c r="C963" i="1"/>
  <c r="B963" i="1"/>
  <c r="E962" i="1"/>
  <c r="D962" i="1"/>
  <c r="C962" i="1"/>
  <c r="B962" i="1"/>
  <c r="E961" i="1"/>
  <c r="D961" i="1"/>
  <c r="C961" i="1"/>
  <c r="B961" i="1"/>
  <c r="E960" i="1"/>
  <c r="D960" i="1"/>
  <c r="C960" i="1"/>
  <c r="B960" i="1"/>
  <c r="E959" i="1"/>
  <c r="D959" i="1"/>
  <c r="C959" i="1"/>
  <c r="B959" i="1"/>
  <c r="E958" i="1"/>
  <c r="D958" i="1"/>
  <c r="C958" i="1"/>
  <c r="B958" i="1"/>
  <c r="E957" i="1"/>
  <c r="D957" i="1"/>
  <c r="C957" i="1"/>
  <c r="B957" i="1"/>
  <c r="E956" i="1"/>
  <c r="D956" i="1"/>
  <c r="C956" i="1"/>
  <c r="B956" i="1"/>
  <c r="E955" i="1"/>
  <c r="D955" i="1"/>
  <c r="C955" i="1"/>
  <c r="B955" i="1"/>
  <c r="E954" i="1"/>
  <c r="D954" i="1"/>
  <c r="C954" i="1"/>
  <c r="B954" i="1"/>
  <c r="E953" i="1"/>
  <c r="D953" i="1"/>
  <c r="C953" i="1"/>
  <c r="B953" i="1"/>
  <c r="E952" i="1"/>
  <c r="D952" i="1"/>
  <c r="C952" i="1"/>
  <c r="B952" i="1"/>
  <c r="E951" i="1"/>
  <c r="D951" i="1"/>
  <c r="C951" i="1"/>
  <c r="B951" i="1"/>
  <c r="E950" i="1"/>
  <c r="D950" i="1"/>
  <c r="C950" i="1"/>
  <c r="B950" i="1"/>
  <c r="E949" i="1"/>
  <c r="D949" i="1"/>
  <c r="C949" i="1"/>
  <c r="B949" i="1"/>
  <c r="E948" i="1"/>
  <c r="D948" i="1"/>
  <c r="C948" i="1"/>
  <c r="B948" i="1"/>
  <c r="E947" i="1"/>
  <c r="D947" i="1"/>
  <c r="C947" i="1"/>
  <c r="B947" i="1"/>
  <c r="E946" i="1"/>
  <c r="D946" i="1"/>
  <c r="C946" i="1"/>
  <c r="B946" i="1"/>
  <c r="E945" i="1"/>
  <c r="D945" i="1"/>
  <c r="C945" i="1"/>
  <c r="B945" i="1"/>
  <c r="E944" i="1"/>
  <c r="D944" i="1"/>
  <c r="C944" i="1"/>
  <c r="B944" i="1"/>
  <c r="E943" i="1"/>
  <c r="D943" i="1"/>
  <c r="C943" i="1"/>
  <c r="B943" i="1"/>
  <c r="E942" i="1"/>
  <c r="D942" i="1"/>
  <c r="C942" i="1"/>
  <c r="B942" i="1"/>
  <c r="E941" i="1"/>
  <c r="D941" i="1"/>
  <c r="C941" i="1"/>
  <c r="B941" i="1"/>
  <c r="E940" i="1"/>
  <c r="D940" i="1"/>
  <c r="C940" i="1"/>
  <c r="B940" i="1"/>
  <c r="E939" i="1"/>
  <c r="D939" i="1"/>
  <c r="C939" i="1"/>
  <c r="B939" i="1"/>
  <c r="E938" i="1"/>
  <c r="D938" i="1"/>
  <c r="C938" i="1"/>
  <c r="B938" i="1"/>
  <c r="E937" i="1"/>
  <c r="D937" i="1"/>
  <c r="C937" i="1"/>
  <c r="B937" i="1"/>
  <c r="E936" i="1"/>
  <c r="D936" i="1"/>
  <c r="C936" i="1"/>
  <c r="B936" i="1"/>
  <c r="E935" i="1"/>
  <c r="D935" i="1"/>
  <c r="C935" i="1"/>
  <c r="B935" i="1"/>
  <c r="E934" i="1"/>
  <c r="D934" i="1"/>
  <c r="C934" i="1"/>
  <c r="B934" i="1"/>
  <c r="E933" i="1"/>
  <c r="D933" i="1"/>
  <c r="C933" i="1"/>
  <c r="B933" i="1"/>
  <c r="E932" i="1"/>
  <c r="D932" i="1"/>
  <c r="C932" i="1"/>
  <c r="B932" i="1"/>
  <c r="E931" i="1"/>
  <c r="D931" i="1"/>
  <c r="C931" i="1"/>
  <c r="B931" i="1"/>
  <c r="E930" i="1"/>
  <c r="D930" i="1"/>
  <c r="C930" i="1"/>
  <c r="B930" i="1"/>
  <c r="E929" i="1"/>
  <c r="D929" i="1"/>
  <c r="C929" i="1"/>
  <c r="B929" i="1"/>
  <c r="E928" i="1"/>
  <c r="D928" i="1"/>
  <c r="C928" i="1"/>
  <c r="B928" i="1"/>
  <c r="E927" i="1"/>
  <c r="D927" i="1"/>
  <c r="C927" i="1"/>
  <c r="B927" i="1"/>
  <c r="E926" i="1"/>
  <c r="D926" i="1"/>
  <c r="C926" i="1"/>
  <c r="B926" i="1"/>
  <c r="E925" i="1"/>
  <c r="D925" i="1"/>
  <c r="C925" i="1"/>
  <c r="B925" i="1"/>
  <c r="E924" i="1"/>
  <c r="D924" i="1"/>
  <c r="C924" i="1"/>
  <c r="B924" i="1"/>
  <c r="E923" i="1"/>
  <c r="D923" i="1"/>
  <c r="C923" i="1"/>
  <c r="B923" i="1"/>
  <c r="E922" i="1"/>
  <c r="D922" i="1"/>
  <c r="C922" i="1"/>
  <c r="B922" i="1"/>
  <c r="E921" i="1"/>
  <c r="D921" i="1"/>
  <c r="C921" i="1"/>
  <c r="B921" i="1"/>
  <c r="E920" i="1"/>
  <c r="D920" i="1"/>
  <c r="C920" i="1"/>
  <c r="B920" i="1"/>
  <c r="E919" i="1"/>
  <c r="D919" i="1"/>
  <c r="C919" i="1"/>
  <c r="B919" i="1"/>
  <c r="E918" i="1"/>
  <c r="D918" i="1"/>
  <c r="C918" i="1"/>
  <c r="B918" i="1"/>
  <c r="E917" i="1"/>
  <c r="D917" i="1"/>
  <c r="C917" i="1"/>
  <c r="B917" i="1"/>
  <c r="E916" i="1"/>
  <c r="D916" i="1"/>
  <c r="C916" i="1"/>
  <c r="B916" i="1"/>
  <c r="E915" i="1"/>
  <c r="D915" i="1"/>
  <c r="C915" i="1"/>
  <c r="B915" i="1"/>
  <c r="E914" i="1"/>
  <c r="D914" i="1"/>
  <c r="C914" i="1"/>
  <c r="B914" i="1"/>
  <c r="E913" i="1"/>
  <c r="D913" i="1"/>
  <c r="C913" i="1"/>
  <c r="B913" i="1"/>
  <c r="E912" i="1"/>
  <c r="D912" i="1"/>
  <c r="C912" i="1"/>
  <c r="B912" i="1"/>
  <c r="E911" i="1"/>
  <c r="D911" i="1"/>
  <c r="C911" i="1"/>
  <c r="B911" i="1"/>
  <c r="E910" i="1"/>
  <c r="D910" i="1"/>
  <c r="C910" i="1"/>
  <c r="B910" i="1"/>
  <c r="E909" i="1"/>
  <c r="D909" i="1"/>
  <c r="C909" i="1"/>
  <c r="B909" i="1"/>
  <c r="E908" i="1"/>
  <c r="D908" i="1"/>
  <c r="C908" i="1"/>
  <c r="B908" i="1"/>
  <c r="E907" i="1"/>
  <c r="D907" i="1"/>
  <c r="C907" i="1"/>
  <c r="B907" i="1"/>
  <c r="E906" i="1"/>
  <c r="D906" i="1"/>
  <c r="C906" i="1"/>
  <c r="B906" i="1"/>
  <c r="E905" i="1"/>
  <c r="D905" i="1"/>
  <c r="C905" i="1"/>
  <c r="B905" i="1"/>
  <c r="E904" i="1"/>
  <c r="D904" i="1"/>
  <c r="C904" i="1"/>
  <c r="B904" i="1"/>
  <c r="E903" i="1"/>
  <c r="D903" i="1"/>
  <c r="C903" i="1"/>
  <c r="B903" i="1"/>
  <c r="E902" i="1"/>
  <c r="D902" i="1"/>
  <c r="C902" i="1"/>
  <c r="B902" i="1"/>
  <c r="E901" i="1"/>
  <c r="D901" i="1"/>
  <c r="C901" i="1"/>
  <c r="B901" i="1"/>
  <c r="E900" i="1"/>
  <c r="D900" i="1"/>
  <c r="C900" i="1"/>
  <c r="B900" i="1"/>
  <c r="E899" i="1"/>
  <c r="D899" i="1"/>
  <c r="C899" i="1"/>
  <c r="B899" i="1"/>
  <c r="E898" i="1"/>
  <c r="D898" i="1"/>
  <c r="C898" i="1"/>
  <c r="B898" i="1"/>
  <c r="E897" i="1"/>
  <c r="D897" i="1"/>
  <c r="C897" i="1"/>
  <c r="B897" i="1"/>
  <c r="E896" i="1"/>
  <c r="D896" i="1"/>
  <c r="C896" i="1"/>
  <c r="B896" i="1"/>
  <c r="E895" i="1"/>
  <c r="D895" i="1"/>
  <c r="C895" i="1"/>
  <c r="B895" i="1"/>
  <c r="E894" i="1"/>
  <c r="D894" i="1"/>
  <c r="C894" i="1"/>
  <c r="B894" i="1"/>
  <c r="E893" i="1"/>
  <c r="D893" i="1"/>
  <c r="C893" i="1"/>
  <c r="B893" i="1"/>
  <c r="E892" i="1"/>
  <c r="D892" i="1"/>
  <c r="C892" i="1"/>
  <c r="B892" i="1"/>
  <c r="E891" i="1"/>
  <c r="D891" i="1"/>
  <c r="C891" i="1"/>
  <c r="B891" i="1"/>
  <c r="E890" i="1"/>
  <c r="D890" i="1"/>
  <c r="C890" i="1"/>
  <c r="B890" i="1"/>
  <c r="E889" i="1"/>
  <c r="D889" i="1"/>
  <c r="C889" i="1"/>
  <c r="B889" i="1"/>
  <c r="E888" i="1"/>
  <c r="D888" i="1"/>
  <c r="C888" i="1"/>
  <c r="B888" i="1"/>
  <c r="E887" i="1"/>
  <c r="D887" i="1"/>
  <c r="C887" i="1"/>
  <c r="B887" i="1"/>
  <c r="E886" i="1"/>
  <c r="D886" i="1"/>
  <c r="C886" i="1"/>
  <c r="B886" i="1"/>
  <c r="E885" i="1"/>
  <c r="D885" i="1"/>
  <c r="C885" i="1"/>
  <c r="B885" i="1"/>
  <c r="E884" i="1"/>
  <c r="D884" i="1"/>
  <c r="C884" i="1"/>
  <c r="B884" i="1"/>
  <c r="E883" i="1"/>
  <c r="D883" i="1"/>
  <c r="C883" i="1"/>
  <c r="B883" i="1"/>
  <c r="E882" i="1"/>
  <c r="D882" i="1"/>
  <c r="C882" i="1"/>
  <c r="B882" i="1"/>
  <c r="E881" i="1"/>
  <c r="D881" i="1"/>
  <c r="C881" i="1"/>
  <c r="B881" i="1"/>
  <c r="E880" i="1"/>
  <c r="D880" i="1"/>
  <c r="C880" i="1"/>
  <c r="B880" i="1"/>
  <c r="E879" i="1"/>
  <c r="D879" i="1"/>
  <c r="C879" i="1"/>
  <c r="B879" i="1"/>
  <c r="E878" i="1"/>
  <c r="D878" i="1"/>
  <c r="C878" i="1"/>
  <c r="B878" i="1"/>
  <c r="E877" i="1"/>
  <c r="D877" i="1"/>
  <c r="C877" i="1"/>
  <c r="B877" i="1"/>
  <c r="E876" i="1"/>
  <c r="D876" i="1"/>
  <c r="C876" i="1"/>
  <c r="B876" i="1"/>
  <c r="E875" i="1"/>
  <c r="D875" i="1"/>
  <c r="C875" i="1"/>
  <c r="B875" i="1"/>
  <c r="E874" i="1"/>
  <c r="D874" i="1"/>
  <c r="C874" i="1"/>
  <c r="B874" i="1"/>
  <c r="E873" i="1"/>
  <c r="D873" i="1"/>
  <c r="C873" i="1"/>
  <c r="B873" i="1"/>
  <c r="E872" i="1"/>
  <c r="D872" i="1"/>
  <c r="C872" i="1"/>
  <c r="B872" i="1"/>
  <c r="E871" i="1"/>
  <c r="D871" i="1"/>
  <c r="C871" i="1"/>
  <c r="B871" i="1"/>
  <c r="E870" i="1"/>
  <c r="D870" i="1"/>
  <c r="C870" i="1"/>
  <c r="B870" i="1"/>
  <c r="E869" i="1"/>
  <c r="D869" i="1"/>
  <c r="C869" i="1"/>
  <c r="B869" i="1"/>
  <c r="E868" i="1"/>
  <c r="D868" i="1"/>
  <c r="C868" i="1"/>
  <c r="B868" i="1"/>
  <c r="E867" i="1"/>
  <c r="D867" i="1"/>
  <c r="C867" i="1"/>
  <c r="B867" i="1"/>
  <c r="E866" i="1"/>
  <c r="D866" i="1"/>
  <c r="C866" i="1"/>
  <c r="B866" i="1"/>
  <c r="E865" i="1"/>
  <c r="D865" i="1"/>
  <c r="C865" i="1"/>
  <c r="B865" i="1"/>
  <c r="E864" i="1"/>
  <c r="D864" i="1"/>
  <c r="C864" i="1"/>
  <c r="B864" i="1"/>
  <c r="E863" i="1"/>
  <c r="D863" i="1"/>
  <c r="C863" i="1"/>
  <c r="B863" i="1"/>
  <c r="E862" i="1"/>
  <c r="D862" i="1"/>
  <c r="C862" i="1"/>
  <c r="B862" i="1"/>
  <c r="E861" i="1"/>
  <c r="D861" i="1"/>
  <c r="C861" i="1"/>
  <c r="B861" i="1"/>
  <c r="E860" i="1"/>
  <c r="D860" i="1"/>
  <c r="C860" i="1"/>
  <c r="B860" i="1"/>
  <c r="E859" i="1"/>
  <c r="D859" i="1"/>
  <c r="C859" i="1"/>
  <c r="B859" i="1"/>
  <c r="E858" i="1"/>
  <c r="D858" i="1"/>
  <c r="C858" i="1"/>
  <c r="B858" i="1"/>
  <c r="E857" i="1"/>
  <c r="D857" i="1"/>
  <c r="C857" i="1"/>
  <c r="B857" i="1"/>
  <c r="E856" i="1"/>
  <c r="D856" i="1"/>
  <c r="C856" i="1"/>
  <c r="B856" i="1"/>
  <c r="E855" i="1"/>
  <c r="D855" i="1"/>
  <c r="C855" i="1"/>
  <c r="B855" i="1"/>
  <c r="E854" i="1"/>
  <c r="D854" i="1"/>
  <c r="C854" i="1"/>
  <c r="B854" i="1"/>
  <c r="E853" i="1"/>
  <c r="D853" i="1"/>
  <c r="C853" i="1"/>
  <c r="B853" i="1"/>
  <c r="E852" i="1"/>
  <c r="D852" i="1"/>
  <c r="C852" i="1"/>
  <c r="B852" i="1"/>
  <c r="E851" i="1"/>
  <c r="D851" i="1"/>
  <c r="C851" i="1"/>
  <c r="B851" i="1"/>
  <c r="E850" i="1"/>
  <c r="D850" i="1"/>
  <c r="C850" i="1"/>
  <c r="B850" i="1"/>
  <c r="E849" i="1"/>
  <c r="D849" i="1"/>
  <c r="C849" i="1"/>
  <c r="B849" i="1"/>
  <c r="E848" i="1"/>
  <c r="D848" i="1"/>
  <c r="C848" i="1"/>
  <c r="B848" i="1"/>
  <c r="E824" i="1"/>
  <c r="D824" i="1"/>
  <c r="C824" i="1"/>
  <c r="B824" i="1"/>
  <c r="E823" i="1"/>
  <c r="D823" i="1"/>
  <c r="C823" i="1"/>
  <c r="B823" i="1"/>
  <c r="E822" i="1"/>
  <c r="D822" i="1"/>
  <c r="C822" i="1"/>
  <c r="B822" i="1"/>
  <c r="E821" i="1"/>
  <c r="D821" i="1"/>
  <c r="C821" i="1"/>
  <c r="B821" i="1"/>
  <c r="E820" i="1"/>
  <c r="D820" i="1"/>
  <c r="C820" i="1"/>
  <c r="B820" i="1"/>
  <c r="E819" i="1"/>
  <c r="D819" i="1"/>
  <c r="C819" i="1"/>
  <c r="B819" i="1"/>
  <c r="E818" i="1"/>
  <c r="D818" i="1"/>
  <c r="C818" i="1"/>
  <c r="B818" i="1"/>
  <c r="E817" i="1"/>
  <c r="D817" i="1"/>
  <c r="C817" i="1"/>
  <c r="B817" i="1"/>
  <c r="E816" i="1"/>
  <c r="D816" i="1"/>
  <c r="C816" i="1"/>
  <c r="B816" i="1"/>
  <c r="E815" i="1"/>
  <c r="D815" i="1"/>
  <c r="C815" i="1"/>
  <c r="B815" i="1"/>
  <c r="E814" i="1"/>
  <c r="D814" i="1"/>
  <c r="C814" i="1"/>
  <c r="B814" i="1"/>
  <c r="E813" i="1"/>
  <c r="D813" i="1"/>
  <c r="C813" i="1"/>
  <c r="B813" i="1"/>
  <c r="E812" i="1"/>
  <c r="D812" i="1"/>
  <c r="C812" i="1"/>
  <c r="B812" i="1"/>
  <c r="E811" i="1"/>
  <c r="D811" i="1"/>
  <c r="C811" i="1"/>
  <c r="B811" i="1"/>
  <c r="E810" i="1"/>
  <c r="D810" i="1"/>
  <c r="C810" i="1"/>
  <c r="B810" i="1"/>
  <c r="E809" i="1"/>
  <c r="D809" i="1"/>
  <c r="C809" i="1"/>
  <c r="B809" i="1"/>
  <c r="E808" i="1"/>
  <c r="D808" i="1"/>
  <c r="C808" i="1"/>
  <c r="B808" i="1"/>
  <c r="E807" i="1"/>
  <c r="D807" i="1"/>
  <c r="C807" i="1"/>
  <c r="B807" i="1"/>
  <c r="E806" i="1"/>
  <c r="D806" i="1"/>
  <c r="C806" i="1"/>
  <c r="B806" i="1"/>
  <c r="E805" i="1"/>
  <c r="D805" i="1"/>
  <c r="C805" i="1"/>
  <c r="B805" i="1"/>
  <c r="E804" i="1"/>
  <c r="D804" i="1"/>
  <c r="C804" i="1"/>
  <c r="B804" i="1"/>
  <c r="E803" i="1"/>
  <c r="D803" i="1"/>
  <c r="C803" i="1"/>
  <c r="B803" i="1"/>
  <c r="E802" i="1"/>
  <c r="D802" i="1"/>
  <c r="C802" i="1"/>
  <c r="B802" i="1"/>
  <c r="E801" i="1"/>
  <c r="D801" i="1"/>
  <c r="C801" i="1"/>
  <c r="B801" i="1"/>
  <c r="E800" i="1"/>
  <c r="D800" i="1"/>
  <c r="C800" i="1"/>
  <c r="B800" i="1"/>
  <c r="E799" i="1"/>
  <c r="D799" i="1"/>
  <c r="C799" i="1"/>
  <c r="B799" i="1"/>
  <c r="E798" i="1"/>
  <c r="D798" i="1"/>
  <c r="C798" i="1"/>
  <c r="B798" i="1"/>
  <c r="E797" i="1"/>
  <c r="D797" i="1"/>
  <c r="C797" i="1"/>
  <c r="B797" i="1"/>
  <c r="E796" i="1"/>
  <c r="D796" i="1"/>
  <c r="C796" i="1"/>
  <c r="B796" i="1"/>
  <c r="E795" i="1"/>
  <c r="D795" i="1"/>
  <c r="C795" i="1"/>
  <c r="B795" i="1"/>
  <c r="E794" i="1"/>
  <c r="D794" i="1"/>
  <c r="C794" i="1"/>
  <c r="B794" i="1"/>
  <c r="E793" i="1"/>
  <c r="D793" i="1"/>
  <c r="C793" i="1"/>
  <c r="B793" i="1"/>
  <c r="E792" i="1"/>
  <c r="D792" i="1"/>
  <c r="C792" i="1"/>
  <c r="B792" i="1"/>
  <c r="E791" i="1"/>
  <c r="D791" i="1"/>
  <c r="C791" i="1"/>
  <c r="B791" i="1"/>
  <c r="E790" i="1"/>
  <c r="D790" i="1"/>
  <c r="C790" i="1"/>
  <c r="B790" i="1"/>
  <c r="E789" i="1"/>
  <c r="D789" i="1"/>
  <c r="C789" i="1"/>
  <c r="B789" i="1"/>
  <c r="E788" i="1"/>
  <c r="D788" i="1"/>
  <c r="C788" i="1"/>
  <c r="B788" i="1"/>
  <c r="E787" i="1"/>
  <c r="D787" i="1"/>
  <c r="C787" i="1"/>
  <c r="B787" i="1"/>
  <c r="E786" i="1"/>
  <c r="D786" i="1"/>
  <c r="C786" i="1"/>
  <c r="B786" i="1"/>
  <c r="E785" i="1"/>
  <c r="D785" i="1"/>
  <c r="C785" i="1"/>
  <c r="B785" i="1"/>
  <c r="E784" i="1"/>
  <c r="D784" i="1"/>
  <c r="C784" i="1"/>
  <c r="B784" i="1"/>
  <c r="E783" i="1"/>
  <c r="D783" i="1"/>
  <c r="C783" i="1"/>
  <c r="B783" i="1"/>
  <c r="E782" i="1"/>
  <c r="D782" i="1"/>
  <c r="C782" i="1"/>
  <c r="B782" i="1"/>
  <c r="E781" i="1"/>
  <c r="D781" i="1"/>
  <c r="C781" i="1"/>
  <c r="B781" i="1"/>
  <c r="E780" i="1"/>
  <c r="D780" i="1"/>
  <c r="C780" i="1"/>
  <c r="B780" i="1"/>
  <c r="E779" i="1"/>
  <c r="D779" i="1"/>
  <c r="C779" i="1"/>
  <c r="B779" i="1"/>
  <c r="E778" i="1"/>
  <c r="D778" i="1"/>
  <c r="C778" i="1"/>
  <c r="B778" i="1"/>
  <c r="E777" i="1"/>
  <c r="D777" i="1"/>
  <c r="C777" i="1"/>
  <c r="B777" i="1"/>
  <c r="E776" i="1"/>
  <c r="D776" i="1"/>
  <c r="C776" i="1"/>
  <c r="B776" i="1"/>
  <c r="E775" i="1"/>
  <c r="D775" i="1"/>
  <c r="C775" i="1"/>
  <c r="B775" i="1"/>
  <c r="E774" i="1"/>
  <c r="D774" i="1"/>
  <c r="C774" i="1"/>
  <c r="B774" i="1"/>
  <c r="E773" i="1"/>
  <c r="D773" i="1"/>
  <c r="C773" i="1"/>
  <c r="B773" i="1"/>
  <c r="E772" i="1"/>
  <c r="D772" i="1"/>
  <c r="C772" i="1"/>
  <c r="B772" i="1"/>
  <c r="E771" i="1"/>
  <c r="D771" i="1"/>
  <c r="C771" i="1"/>
  <c r="B771" i="1"/>
  <c r="E770" i="1"/>
  <c r="D770" i="1"/>
  <c r="C770" i="1"/>
  <c r="B770" i="1"/>
  <c r="E769" i="1"/>
  <c r="D769" i="1"/>
  <c r="C769" i="1"/>
  <c r="B769" i="1"/>
  <c r="E768" i="1"/>
  <c r="D768" i="1"/>
  <c r="C768" i="1"/>
  <c r="B768" i="1"/>
  <c r="E767" i="1"/>
  <c r="D767" i="1"/>
  <c r="C767" i="1"/>
  <c r="B767" i="1"/>
  <c r="E766" i="1"/>
  <c r="D766" i="1"/>
  <c r="C766" i="1"/>
  <c r="B766" i="1"/>
  <c r="E765" i="1"/>
  <c r="D765" i="1"/>
  <c r="C765" i="1"/>
  <c r="B765" i="1"/>
  <c r="E764" i="1"/>
  <c r="D764" i="1"/>
  <c r="C764" i="1"/>
  <c r="B764" i="1"/>
  <c r="E763" i="1"/>
  <c r="D763" i="1"/>
  <c r="C763" i="1"/>
  <c r="B763" i="1"/>
  <c r="E762" i="1"/>
  <c r="D762" i="1"/>
  <c r="C762" i="1"/>
  <c r="B762" i="1"/>
  <c r="E761" i="1"/>
  <c r="D761" i="1"/>
  <c r="C761" i="1"/>
  <c r="B761" i="1"/>
  <c r="E760" i="1"/>
  <c r="D760" i="1"/>
  <c r="C760" i="1"/>
  <c r="B760" i="1"/>
  <c r="E759" i="1"/>
  <c r="D759" i="1"/>
  <c r="C759" i="1"/>
  <c r="B759" i="1"/>
  <c r="E758" i="1"/>
  <c r="D758" i="1"/>
  <c r="C758" i="1"/>
  <c r="B758" i="1"/>
  <c r="E757" i="1"/>
  <c r="D757" i="1"/>
  <c r="C757" i="1"/>
  <c r="B757" i="1"/>
  <c r="E756" i="1"/>
  <c r="D756" i="1"/>
  <c r="C756" i="1"/>
  <c r="B756" i="1"/>
  <c r="E755" i="1"/>
  <c r="D755" i="1"/>
  <c r="C755" i="1"/>
  <c r="B755" i="1"/>
  <c r="C741" i="1"/>
  <c r="B741" i="1"/>
  <c r="C740" i="1"/>
  <c r="B740" i="1"/>
  <c r="C739" i="1"/>
  <c r="B739" i="1"/>
  <c r="C738" i="1"/>
  <c r="B738" i="1"/>
  <c r="C737" i="1"/>
  <c r="B737" i="1"/>
  <c r="C736" i="1"/>
  <c r="B736" i="1"/>
  <c r="C735" i="1"/>
  <c r="B735" i="1"/>
  <c r="C734" i="1"/>
  <c r="B734" i="1"/>
  <c r="C733" i="1"/>
  <c r="B733" i="1"/>
  <c r="C732" i="1"/>
  <c r="B732" i="1"/>
  <c r="C731" i="1"/>
  <c r="B731" i="1"/>
  <c r="C730" i="1"/>
  <c r="B730" i="1"/>
  <c r="C729" i="1"/>
  <c r="B729" i="1"/>
  <c r="C728" i="1"/>
  <c r="B728" i="1"/>
  <c r="C727" i="1"/>
  <c r="B727" i="1"/>
  <c r="C726" i="1"/>
  <c r="B726" i="1"/>
  <c r="C725" i="1"/>
  <c r="B725" i="1"/>
  <c r="C724" i="1"/>
  <c r="B724" i="1"/>
  <c r="C723" i="1"/>
  <c r="B723" i="1"/>
  <c r="C722" i="1"/>
  <c r="B722" i="1"/>
  <c r="C721" i="1"/>
  <c r="B721" i="1"/>
  <c r="C720" i="1"/>
  <c r="B720" i="1"/>
  <c r="C719" i="1"/>
  <c r="B719" i="1"/>
  <c r="C718" i="1"/>
  <c r="B718" i="1"/>
  <c r="C717" i="1"/>
  <c r="B717" i="1"/>
  <c r="C716" i="1"/>
  <c r="B716" i="1"/>
  <c r="C715" i="1"/>
  <c r="B715" i="1"/>
  <c r="C714" i="1"/>
  <c r="B714" i="1"/>
  <c r="C713" i="1"/>
  <c r="B713" i="1"/>
  <c r="C712" i="1"/>
  <c r="B712" i="1"/>
  <c r="C711" i="1"/>
  <c r="B711" i="1"/>
  <c r="C710" i="1"/>
  <c r="B710" i="1"/>
  <c r="C709" i="1"/>
  <c r="B709" i="1"/>
  <c r="C708" i="1"/>
  <c r="B708" i="1"/>
  <c r="C707" i="1"/>
  <c r="B707" i="1"/>
  <c r="C706" i="1"/>
  <c r="B706" i="1"/>
  <c r="C705" i="1"/>
  <c r="B705" i="1"/>
  <c r="C704" i="1"/>
  <c r="B704" i="1"/>
  <c r="C703" i="1"/>
  <c r="B703" i="1"/>
  <c r="C702" i="1"/>
  <c r="B702" i="1"/>
  <c r="C701" i="1"/>
  <c r="B701" i="1"/>
  <c r="C700" i="1"/>
  <c r="B700" i="1"/>
  <c r="C699" i="1"/>
  <c r="B699" i="1"/>
  <c r="C698" i="1"/>
  <c r="B698" i="1"/>
  <c r="C697" i="1"/>
  <c r="B697" i="1"/>
  <c r="C696" i="1"/>
  <c r="B696" i="1"/>
  <c r="C695" i="1"/>
  <c r="B695" i="1"/>
  <c r="C694" i="1"/>
  <c r="B694" i="1"/>
  <c r="C693" i="1"/>
  <c r="B693" i="1"/>
  <c r="C692" i="1"/>
  <c r="B692" i="1"/>
  <c r="C691" i="1"/>
  <c r="B691" i="1"/>
  <c r="C690" i="1"/>
  <c r="B690" i="1"/>
  <c r="C689" i="1"/>
  <c r="B689" i="1"/>
  <c r="C688" i="1"/>
  <c r="B688" i="1"/>
  <c r="C687" i="1"/>
  <c r="B687" i="1"/>
  <c r="C686" i="1"/>
  <c r="B686" i="1"/>
  <c r="C685" i="1"/>
  <c r="B685" i="1"/>
  <c r="C684" i="1"/>
  <c r="B684" i="1"/>
  <c r="C683" i="1"/>
  <c r="B683" i="1"/>
  <c r="C682" i="1"/>
  <c r="B682" i="1"/>
  <c r="C681" i="1"/>
  <c r="B681" i="1"/>
  <c r="C680" i="1"/>
  <c r="B680" i="1"/>
  <c r="C679" i="1"/>
  <c r="B679" i="1"/>
  <c r="C678" i="1"/>
  <c r="B678" i="1"/>
  <c r="C677" i="1"/>
  <c r="B677" i="1"/>
  <c r="C676" i="1"/>
  <c r="B676" i="1"/>
  <c r="C675" i="1"/>
  <c r="B675" i="1"/>
  <c r="C674" i="1"/>
  <c r="B674" i="1"/>
  <c r="C673" i="1"/>
  <c r="B673" i="1"/>
  <c r="C672" i="1"/>
  <c r="B672" i="1"/>
  <c r="D658" i="1"/>
  <c r="C658" i="1"/>
  <c r="B658" i="1"/>
  <c r="D657" i="1"/>
  <c r="C657" i="1"/>
  <c r="B657" i="1"/>
  <c r="D656" i="1"/>
  <c r="C656" i="1"/>
  <c r="B656" i="1"/>
  <c r="D655" i="1"/>
  <c r="C655" i="1"/>
  <c r="B655" i="1"/>
  <c r="D654" i="1"/>
  <c r="C654" i="1"/>
  <c r="B654" i="1"/>
  <c r="D653" i="1"/>
  <c r="C653" i="1"/>
  <c r="B653" i="1"/>
  <c r="D652" i="1"/>
  <c r="C652" i="1"/>
  <c r="B652" i="1"/>
  <c r="D651" i="1"/>
  <c r="C651" i="1"/>
  <c r="B651" i="1"/>
  <c r="D650" i="1"/>
  <c r="C650" i="1"/>
  <c r="B650" i="1"/>
  <c r="D649" i="1"/>
  <c r="C649" i="1"/>
  <c r="B649" i="1"/>
  <c r="D648" i="1"/>
  <c r="C648" i="1"/>
  <c r="B648" i="1"/>
  <c r="D647" i="1"/>
  <c r="C647" i="1"/>
  <c r="B647" i="1"/>
  <c r="D646" i="1"/>
  <c r="C646" i="1"/>
  <c r="B646" i="1"/>
  <c r="D645" i="1"/>
  <c r="C645" i="1"/>
  <c r="B645" i="1"/>
  <c r="D644" i="1"/>
  <c r="C644" i="1"/>
  <c r="B644" i="1"/>
  <c r="D643" i="1"/>
  <c r="C643" i="1"/>
  <c r="B643" i="1"/>
  <c r="D642" i="1"/>
  <c r="C642" i="1"/>
  <c r="B642" i="1"/>
  <c r="D641" i="1"/>
  <c r="C641" i="1"/>
  <c r="B641" i="1"/>
  <c r="D640" i="1"/>
  <c r="C640" i="1"/>
  <c r="B640" i="1"/>
  <c r="D639" i="1"/>
  <c r="C639" i="1"/>
  <c r="B639" i="1"/>
  <c r="D638" i="1"/>
  <c r="C638" i="1"/>
  <c r="B638" i="1"/>
  <c r="D637" i="1"/>
  <c r="C637" i="1"/>
  <c r="B637" i="1"/>
  <c r="D636" i="1"/>
  <c r="C636" i="1"/>
  <c r="B636" i="1"/>
  <c r="D635" i="1"/>
  <c r="C635" i="1"/>
  <c r="B635" i="1"/>
  <c r="D634" i="1"/>
  <c r="C634" i="1"/>
  <c r="B634" i="1"/>
  <c r="D633" i="1"/>
  <c r="C633" i="1"/>
  <c r="B633" i="1"/>
  <c r="D632" i="1"/>
  <c r="C632" i="1"/>
  <c r="B632" i="1"/>
  <c r="D631" i="1"/>
  <c r="C631" i="1"/>
  <c r="B631" i="1"/>
  <c r="D630" i="1"/>
  <c r="C630" i="1"/>
  <c r="B630" i="1"/>
  <c r="D629" i="1"/>
  <c r="C629" i="1"/>
  <c r="B629" i="1"/>
  <c r="D628" i="1"/>
  <c r="C628" i="1"/>
  <c r="B628" i="1"/>
  <c r="D627" i="1"/>
  <c r="C627" i="1"/>
  <c r="B627" i="1"/>
  <c r="D626" i="1"/>
  <c r="C626" i="1"/>
  <c r="B626" i="1"/>
  <c r="D625" i="1"/>
  <c r="C625" i="1"/>
  <c r="B625" i="1"/>
  <c r="D624" i="1"/>
  <c r="C624" i="1"/>
  <c r="B624" i="1"/>
  <c r="D623" i="1"/>
  <c r="C623" i="1"/>
  <c r="B623" i="1"/>
  <c r="D622" i="1"/>
  <c r="C622" i="1"/>
  <c r="B622" i="1"/>
  <c r="D621" i="1"/>
  <c r="C621" i="1"/>
  <c r="B621" i="1"/>
  <c r="D620" i="1"/>
  <c r="C620" i="1"/>
  <c r="B620" i="1"/>
  <c r="D619" i="1"/>
  <c r="C619" i="1"/>
  <c r="B619" i="1"/>
  <c r="D618" i="1"/>
  <c r="C618" i="1"/>
  <c r="B618" i="1"/>
  <c r="D617" i="1"/>
  <c r="C617" i="1"/>
  <c r="B617" i="1"/>
  <c r="D616" i="1"/>
  <c r="C616" i="1"/>
  <c r="B616" i="1"/>
  <c r="D615" i="1"/>
  <c r="C615" i="1"/>
  <c r="B615" i="1"/>
  <c r="D614" i="1"/>
  <c r="C614" i="1"/>
  <c r="B614" i="1"/>
  <c r="D613" i="1"/>
  <c r="C613" i="1"/>
  <c r="B613" i="1"/>
  <c r="D612" i="1"/>
  <c r="C612" i="1"/>
  <c r="B612" i="1"/>
  <c r="D611" i="1"/>
  <c r="C611" i="1"/>
  <c r="B611" i="1"/>
  <c r="D610" i="1"/>
  <c r="C610" i="1"/>
  <c r="B610" i="1"/>
  <c r="D609" i="1"/>
  <c r="C609" i="1"/>
  <c r="B609" i="1"/>
  <c r="D608" i="1"/>
  <c r="C608" i="1"/>
  <c r="B608" i="1"/>
  <c r="D607" i="1"/>
  <c r="C607" i="1"/>
  <c r="B607" i="1"/>
  <c r="D606" i="1"/>
  <c r="C606" i="1"/>
  <c r="B606" i="1"/>
  <c r="D605" i="1"/>
  <c r="C605" i="1"/>
  <c r="B605" i="1"/>
  <c r="D604" i="1"/>
  <c r="C604" i="1"/>
  <c r="B604" i="1"/>
  <c r="D603" i="1"/>
  <c r="C603" i="1"/>
  <c r="B603" i="1"/>
  <c r="D602" i="1"/>
  <c r="C602" i="1"/>
  <c r="B602" i="1"/>
  <c r="D601" i="1"/>
  <c r="C601" i="1"/>
  <c r="B601" i="1"/>
  <c r="D600" i="1"/>
  <c r="C600" i="1"/>
  <c r="B600" i="1"/>
  <c r="D599" i="1"/>
  <c r="C599" i="1"/>
  <c r="B599" i="1"/>
  <c r="D598" i="1"/>
  <c r="C598" i="1"/>
  <c r="B598" i="1"/>
  <c r="D597" i="1"/>
  <c r="C597" i="1"/>
  <c r="B597" i="1"/>
  <c r="D596" i="1"/>
  <c r="C596" i="1"/>
  <c r="B596" i="1"/>
  <c r="D595" i="1"/>
  <c r="C595" i="1"/>
  <c r="B595" i="1"/>
  <c r="D594" i="1"/>
  <c r="C594" i="1"/>
  <c r="B594" i="1"/>
  <c r="D593" i="1"/>
  <c r="C593" i="1"/>
  <c r="B593" i="1"/>
  <c r="D592" i="1"/>
  <c r="C592" i="1"/>
  <c r="B592" i="1"/>
  <c r="D591" i="1"/>
  <c r="C591" i="1"/>
  <c r="B591" i="1"/>
  <c r="D590" i="1"/>
  <c r="C590" i="1"/>
  <c r="B590" i="1"/>
  <c r="D589" i="1"/>
  <c r="C589" i="1"/>
  <c r="B589" i="1"/>
  <c r="D588" i="1"/>
  <c r="C588" i="1"/>
  <c r="B588" i="1"/>
  <c r="D587" i="1"/>
  <c r="C587" i="1"/>
  <c r="B587" i="1"/>
  <c r="D586" i="1"/>
  <c r="C586" i="1"/>
  <c r="B586" i="1"/>
  <c r="D585" i="1"/>
  <c r="C585" i="1"/>
  <c r="B585" i="1"/>
  <c r="D584" i="1"/>
  <c r="C584" i="1"/>
  <c r="B584" i="1"/>
  <c r="D583" i="1"/>
  <c r="C583" i="1"/>
  <c r="B583" i="1"/>
  <c r="D582" i="1"/>
  <c r="C582" i="1"/>
  <c r="B582" i="1"/>
  <c r="D581" i="1"/>
  <c r="C581" i="1"/>
  <c r="B581" i="1"/>
  <c r="D580" i="1"/>
  <c r="C580" i="1"/>
  <c r="B580" i="1"/>
  <c r="D579" i="1"/>
  <c r="C579" i="1"/>
  <c r="B579" i="1"/>
  <c r="D578" i="1"/>
  <c r="C578" i="1"/>
  <c r="B578" i="1"/>
  <c r="D577" i="1"/>
  <c r="C577" i="1"/>
  <c r="B577" i="1"/>
  <c r="D576" i="1"/>
  <c r="C576" i="1"/>
  <c r="B576" i="1"/>
  <c r="D575" i="1"/>
  <c r="C575" i="1"/>
  <c r="B575" i="1"/>
  <c r="D574" i="1"/>
  <c r="C574" i="1"/>
  <c r="B574" i="1"/>
  <c r="D573" i="1"/>
  <c r="C573" i="1"/>
  <c r="B573" i="1"/>
  <c r="D572" i="1"/>
  <c r="C572" i="1"/>
  <c r="B572" i="1"/>
  <c r="D571" i="1"/>
  <c r="C571" i="1"/>
  <c r="B571" i="1"/>
  <c r="D570" i="1"/>
  <c r="C570" i="1"/>
  <c r="B570" i="1"/>
  <c r="D569" i="1"/>
  <c r="C569" i="1"/>
  <c r="B569" i="1"/>
  <c r="D568" i="1"/>
  <c r="C568" i="1"/>
  <c r="B568" i="1"/>
  <c r="D567" i="1"/>
  <c r="C567" i="1"/>
  <c r="B567" i="1"/>
  <c r="D566" i="1"/>
  <c r="C566" i="1"/>
  <c r="B566" i="1"/>
  <c r="D565" i="1"/>
  <c r="C565" i="1"/>
  <c r="B565" i="1"/>
  <c r="D564" i="1"/>
  <c r="C564" i="1"/>
  <c r="B564" i="1"/>
  <c r="D563" i="1"/>
  <c r="C563" i="1"/>
  <c r="B563" i="1"/>
  <c r="D562" i="1"/>
  <c r="C562" i="1"/>
  <c r="B562" i="1"/>
  <c r="D561" i="1"/>
  <c r="C561" i="1"/>
  <c r="B561" i="1"/>
  <c r="D560" i="1"/>
  <c r="C560" i="1"/>
  <c r="B560" i="1"/>
  <c r="D559" i="1"/>
  <c r="C559" i="1"/>
  <c r="B559" i="1"/>
  <c r="D558" i="1"/>
  <c r="C558" i="1"/>
  <c r="B558" i="1"/>
  <c r="D557" i="1"/>
  <c r="C557" i="1"/>
  <c r="B557" i="1"/>
  <c r="D556" i="1"/>
  <c r="C556" i="1"/>
  <c r="B556" i="1"/>
  <c r="D555" i="1"/>
  <c r="C555" i="1"/>
  <c r="B555" i="1"/>
  <c r="D554" i="1"/>
  <c r="C554" i="1"/>
  <c r="B554" i="1"/>
  <c r="D553" i="1"/>
  <c r="C553" i="1"/>
  <c r="B553" i="1"/>
  <c r="D552" i="1"/>
  <c r="C552" i="1"/>
  <c r="B552" i="1"/>
  <c r="D551" i="1"/>
  <c r="C551" i="1"/>
  <c r="B551" i="1"/>
  <c r="D550" i="1"/>
  <c r="C550" i="1"/>
  <c r="B550" i="1"/>
  <c r="D549" i="1"/>
  <c r="C549" i="1"/>
  <c r="B549" i="1"/>
  <c r="D548" i="1"/>
  <c r="C548" i="1"/>
  <c r="B548" i="1"/>
  <c r="D547" i="1"/>
  <c r="C547" i="1"/>
  <c r="B547" i="1"/>
  <c r="D546" i="1"/>
  <c r="C546" i="1"/>
  <c r="B546" i="1"/>
  <c r="D545" i="1"/>
  <c r="C545" i="1"/>
  <c r="B545" i="1"/>
  <c r="D544" i="1"/>
  <c r="C544" i="1"/>
  <c r="B544" i="1"/>
  <c r="D543" i="1"/>
  <c r="C543" i="1"/>
  <c r="B543" i="1"/>
  <c r="D542" i="1"/>
  <c r="C542" i="1"/>
  <c r="B542" i="1"/>
  <c r="D541" i="1"/>
  <c r="C541" i="1"/>
  <c r="B541" i="1"/>
  <c r="D540" i="1"/>
  <c r="C540" i="1"/>
  <c r="B540" i="1"/>
  <c r="D539" i="1"/>
  <c r="C539" i="1"/>
  <c r="B539" i="1"/>
  <c r="D538" i="1"/>
  <c r="C538" i="1"/>
  <c r="B538" i="1"/>
  <c r="D537" i="1"/>
  <c r="C537" i="1"/>
  <c r="B537" i="1"/>
  <c r="D536" i="1"/>
  <c r="C536" i="1"/>
  <c r="B536" i="1"/>
  <c r="D535" i="1"/>
  <c r="C535" i="1"/>
  <c r="B535" i="1"/>
  <c r="D534" i="1"/>
  <c r="C534" i="1"/>
  <c r="B534" i="1"/>
  <c r="D533" i="1"/>
  <c r="C533" i="1"/>
  <c r="B533" i="1"/>
  <c r="D532" i="1"/>
  <c r="C532" i="1"/>
  <c r="B532" i="1"/>
  <c r="D531" i="1"/>
  <c r="C531" i="1"/>
  <c r="B531" i="1"/>
  <c r="D530" i="1"/>
  <c r="C530" i="1"/>
  <c r="B530" i="1"/>
  <c r="D529" i="1"/>
  <c r="C529" i="1"/>
  <c r="B529" i="1"/>
  <c r="D528" i="1"/>
  <c r="C528" i="1"/>
  <c r="B528" i="1"/>
  <c r="D527" i="1"/>
  <c r="C527" i="1"/>
  <c r="B527" i="1"/>
  <c r="D526" i="1"/>
  <c r="C526" i="1"/>
  <c r="B526" i="1"/>
  <c r="D525" i="1"/>
  <c r="C525" i="1"/>
  <c r="B525" i="1"/>
  <c r="D524" i="1"/>
  <c r="C524" i="1"/>
  <c r="B524" i="1"/>
  <c r="D523" i="1"/>
  <c r="C523" i="1"/>
  <c r="B523" i="1"/>
  <c r="D522" i="1"/>
  <c r="C522" i="1"/>
  <c r="B522" i="1"/>
  <c r="D521" i="1"/>
  <c r="C521" i="1"/>
  <c r="B521" i="1"/>
  <c r="D520" i="1"/>
  <c r="C520" i="1"/>
  <c r="B520" i="1"/>
  <c r="D519" i="1"/>
  <c r="C519" i="1"/>
  <c r="B519" i="1"/>
  <c r="CZ495" i="1"/>
  <c r="CY495" i="1"/>
  <c r="CU495" i="1"/>
  <c r="CS495" i="1"/>
  <c r="CR495" i="1"/>
  <c r="CQ495" i="1"/>
  <c r="CP495" i="1"/>
  <c r="CO495" i="1"/>
  <c r="CN495" i="1"/>
  <c r="CM495" i="1"/>
  <c r="CL495" i="1"/>
  <c r="CK495" i="1"/>
  <c r="CI495" i="1"/>
  <c r="CH495" i="1"/>
  <c r="CD495" i="1"/>
  <c r="CC495" i="1"/>
  <c r="BZ495" i="1"/>
  <c r="BX495" i="1"/>
  <c r="BV495" i="1"/>
  <c r="BU495" i="1"/>
  <c r="BT495" i="1"/>
  <c r="BS495" i="1"/>
  <c r="BR495" i="1"/>
  <c r="BP495" i="1"/>
  <c r="BO495" i="1"/>
  <c r="BN495" i="1"/>
  <c r="BM495" i="1"/>
  <c r="BL495" i="1"/>
  <c r="BJ495" i="1"/>
  <c r="BI495" i="1"/>
  <c r="BF495" i="1"/>
  <c r="BE495" i="1"/>
  <c r="BD495" i="1"/>
  <c r="BC495" i="1"/>
  <c r="BB495" i="1"/>
  <c r="AZ495" i="1"/>
  <c r="AY495" i="1"/>
  <c r="AU495" i="1"/>
  <c r="AT495" i="1"/>
  <c r="AS495" i="1"/>
  <c r="AR495" i="1"/>
  <c r="AP495" i="1"/>
  <c r="AN495" i="1"/>
  <c r="AL495" i="1"/>
  <c r="AK495" i="1"/>
  <c r="AJ495" i="1"/>
  <c r="AI495" i="1"/>
  <c r="AH495" i="1"/>
  <c r="AF495" i="1"/>
  <c r="AE495" i="1"/>
  <c r="AD495" i="1"/>
  <c r="Y495" i="1"/>
  <c r="X495" i="1"/>
  <c r="W495" i="1"/>
  <c r="V495" i="1"/>
  <c r="U495" i="1"/>
  <c r="Q495" i="1"/>
  <c r="P495" i="1"/>
  <c r="O495" i="1"/>
  <c r="N495" i="1"/>
  <c r="M495" i="1"/>
  <c r="L495" i="1"/>
  <c r="K495" i="1"/>
  <c r="J495" i="1"/>
  <c r="I495" i="1"/>
  <c r="D495" i="1"/>
  <c r="CZ494" i="1"/>
  <c r="CY494" i="1"/>
  <c r="CU494" i="1"/>
  <c r="CS494" i="1"/>
  <c r="CR494" i="1"/>
  <c r="CQ494" i="1"/>
  <c r="CP494" i="1"/>
  <c r="CO494" i="1"/>
  <c r="CN494" i="1"/>
  <c r="CM494" i="1"/>
  <c r="CL494" i="1"/>
  <c r="CK494" i="1"/>
  <c r="CI494" i="1"/>
  <c r="CH494" i="1"/>
  <c r="CF494" i="1"/>
  <c r="CD494" i="1"/>
  <c r="CC494" i="1"/>
  <c r="BZ494" i="1"/>
  <c r="BX494" i="1"/>
  <c r="BV494" i="1"/>
  <c r="BU494" i="1"/>
  <c r="BT494" i="1"/>
  <c r="BS494" i="1"/>
  <c r="BR494" i="1"/>
  <c r="BP494" i="1"/>
  <c r="BO494" i="1"/>
  <c r="BN494" i="1"/>
  <c r="BM494" i="1"/>
  <c r="BL494" i="1"/>
  <c r="BJ494" i="1"/>
  <c r="BI494" i="1"/>
  <c r="BF494" i="1"/>
  <c r="BE494" i="1"/>
  <c r="BD494" i="1"/>
  <c r="BC494" i="1"/>
  <c r="BB494" i="1"/>
  <c r="AZ494" i="1"/>
  <c r="AY494" i="1"/>
  <c r="AU494" i="1"/>
  <c r="AT494" i="1"/>
  <c r="AS494" i="1"/>
  <c r="AR494" i="1"/>
  <c r="AP494" i="1"/>
  <c r="AN494" i="1"/>
  <c r="AL494" i="1"/>
  <c r="AK494" i="1"/>
  <c r="AJ494" i="1"/>
  <c r="AI494" i="1"/>
  <c r="AH494" i="1"/>
  <c r="AF494" i="1"/>
  <c r="AE494" i="1"/>
  <c r="AD494" i="1"/>
  <c r="Y494" i="1"/>
  <c r="X494" i="1"/>
  <c r="W494" i="1"/>
  <c r="V494" i="1"/>
  <c r="U494" i="1"/>
  <c r="Q494" i="1"/>
  <c r="P494" i="1"/>
  <c r="O494" i="1"/>
  <c r="N494" i="1"/>
  <c r="M494" i="1"/>
  <c r="L494" i="1"/>
  <c r="K494" i="1"/>
  <c r="J494" i="1"/>
  <c r="I494" i="1"/>
  <c r="D494" i="1"/>
  <c r="CZ493" i="1"/>
  <c r="CY493" i="1"/>
  <c r="CV493" i="1"/>
  <c r="CU493" i="1"/>
  <c r="CS493" i="1"/>
  <c r="CR493" i="1"/>
  <c r="CQ493" i="1"/>
  <c r="CP493" i="1"/>
  <c r="CO493" i="1"/>
  <c r="CN493" i="1"/>
  <c r="CM493" i="1"/>
  <c r="CL493" i="1"/>
  <c r="CK493" i="1"/>
  <c r="CI493" i="1"/>
  <c r="CH493" i="1"/>
  <c r="CF493" i="1"/>
  <c r="CD493" i="1"/>
  <c r="CC493" i="1"/>
  <c r="BZ493" i="1"/>
  <c r="BX493" i="1"/>
  <c r="BV493" i="1"/>
  <c r="BU493" i="1"/>
  <c r="BT493" i="1"/>
  <c r="BS493" i="1"/>
  <c r="BR493" i="1"/>
  <c r="BP493" i="1"/>
  <c r="BO493" i="1"/>
  <c r="BN493" i="1"/>
  <c r="BM493" i="1"/>
  <c r="BL493" i="1"/>
  <c r="BJ493" i="1"/>
  <c r="BI493" i="1"/>
  <c r="BF493" i="1"/>
  <c r="BE493" i="1"/>
  <c r="BD493" i="1"/>
  <c r="BC493" i="1"/>
  <c r="BB493" i="1"/>
  <c r="AZ493" i="1"/>
  <c r="AY493" i="1"/>
  <c r="AV493" i="1"/>
  <c r="AU493" i="1"/>
  <c r="AT493" i="1"/>
  <c r="AS493" i="1"/>
  <c r="AR493" i="1"/>
  <c r="AP493" i="1"/>
  <c r="AN493" i="1"/>
  <c r="AL493" i="1"/>
  <c r="AK493" i="1"/>
  <c r="AJ493" i="1"/>
  <c r="AI493" i="1"/>
  <c r="AH493" i="1"/>
  <c r="AF493" i="1"/>
  <c r="AE493" i="1"/>
  <c r="AD493" i="1"/>
  <c r="Y493" i="1"/>
  <c r="X493" i="1"/>
  <c r="W493" i="1"/>
  <c r="V493" i="1"/>
  <c r="U493" i="1"/>
  <c r="Q493" i="1"/>
  <c r="P493" i="1"/>
  <c r="O493" i="1"/>
  <c r="N493" i="1"/>
  <c r="M493" i="1"/>
  <c r="L493" i="1"/>
  <c r="K493" i="1"/>
  <c r="J493" i="1"/>
  <c r="I493" i="1"/>
  <c r="D493" i="1"/>
  <c r="CZ492" i="1"/>
  <c r="CY492" i="1"/>
  <c r="CU492" i="1"/>
  <c r="CS492" i="1"/>
  <c r="CR492" i="1"/>
  <c r="CQ492" i="1"/>
  <c r="CP492" i="1"/>
  <c r="CO492" i="1"/>
  <c r="CN492" i="1"/>
  <c r="CM492" i="1"/>
  <c r="CL492" i="1"/>
  <c r="CK492" i="1"/>
  <c r="CI492" i="1"/>
  <c r="CH492" i="1"/>
  <c r="CD492" i="1"/>
  <c r="CC492" i="1"/>
  <c r="BZ492" i="1"/>
  <c r="BX492" i="1"/>
  <c r="BV492" i="1"/>
  <c r="BU492" i="1"/>
  <c r="BT492" i="1"/>
  <c r="BS492" i="1"/>
  <c r="BR492" i="1"/>
  <c r="BP492" i="1"/>
  <c r="BO492" i="1"/>
  <c r="BN492" i="1"/>
  <c r="BM492" i="1"/>
  <c r="BL492" i="1"/>
  <c r="BJ492" i="1"/>
  <c r="BI492" i="1"/>
  <c r="BF492" i="1"/>
  <c r="BE492" i="1"/>
  <c r="BD492" i="1"/>
  <c r="BC492" i="1"/>
  <c r="BB492" i="1"/>
  <c r="AZ492" i="1"/>
  <c r="AY492" i="1"/>
  <c r="AU492" i="1"/>
  <c r="AT492" i="1"/>
  <c r="AS492" i="1"/>
  <c r="AR492" i="1"/>
  <c r="AP492" i="1"/>
  <c r="AN492" i="1"/>
  <c r="AL492" i="1"/>
  <c r="AK492" i="1"/>
  <c r="AJ492" i="1"/>
  <c r="AI492" i="1"/>
  <c r="AH492" i="1"/>
  <c r="AF492" i="1"/>
  <c r="AE492" i="1"/>
  <c r="AD492" i="1"/>
  <c r="Y492" i="1"/>
  <c r="X492" i="1"/>
  <c r="W492" i="1"/>
  <c r="V492" i="1"/>
  <c r="U492" i="1"/>
  <c r="Q492" i="1"/>
  <c r="P492" i="1"/>
  <c r="O492" i="1"/>
  <c r="N492" i="1"/>
  <c r="M492" i="1"/>
  <c r="L492" i="1"/>
  <c r="K492" i="1"/>
  <c r="J492" i="1"/>
  <c r="I492" i="1"/>
  <c r="D492" i="1"/>
  <c r="CZ491" i="1"/>
  <c r="CY491" i="1"/>
  <c r="CU491" i="1"/>
  <c r="CS491" i="1"/>
  <c r="CR491" i="1"/>
  <c r="CQ491" i="1"/>
  <c r="CP491" i="1"/>
  <c r="CO491" i="1"/>
  <c r="CN491" i="1"/>
  <c r="CM491" i="1"/>
  <c r="CL491" i="1"/>
  <c r="CK491" i="1"/>
  <c r="CI491" i="1"/>
  <c r="CH491" i="1"/>
  <c r="CD491" i="1"/>
  <c r="CC491" i="1"/>
  <c r="BZ491" i="1"/>
  <c r="BY491" i="1"/>
  <c r="BX491" i="1"/>
  <c r="BV491" i="1"/>
  <c r="BU491" i="1"/>
  <c r="BT491" i="1"/>
  <c r="BS491" i="1"/>
  <c r="BR491" i="1"/>
  <c r="BP491" i="1"/>
  <c r="BO491" i="1"/>
  <c r="BN491" i="1"/>
  <c r="BM491" i="1"/>
  <c r="BL491" i="1"/>
  <c r="BJ491" i="1"/>
  <c r="BI491" i="1"/>
  <c r="BF491" i="1"/>
  <c r="BE491" i="1"/>
  <c r="BD491" i="1"/>
  <c r="BC491" i="1"/>
  <c r="BB491" i="1"/>
  <c r="AZ491" i="1"/>
  <c r="AY491" i="1"/>
  <c r="AU491" i="1"/>
  <c r="AT491" i="1"/>
  <c r="AS491" i="1"/>
  <c r="AR491" i="1"/>
  <c r="AP491" i="1"/>
  <c r="AN491" i="1"/>
  <c r="AL491" i="1"/>
  <c r="AK491" i="1"/>
  <c r="AJ491" i="1"/>
  <c r="AI491" i="1"/>
  <c r="AH491" i="1"/>
  <c r="AF491" i="1"/>
  <c r="AE491" i="1"/>
  <c r="AD491" i="1"/>
  <c r="Y491" i="1"/>
  <c r="X491" i="1"/>
  <c r="W491" i="1"/>
  <c r="V491" i="1"/>
  <c r="U491" i="1"/>
  <c r="Q491" i="1"/>
  <c r="P491" i="1"/>
  <c r="O491" i="1"/>
  <c r="N491" i="1"/>
  <c r="M491" i="1"/>
  <c r="L491" i="1"/>
  <c r="K491" i="1"/>
  <c r="J491" i="1"/>
  <c r="I491" i="1"/>
  <c r="D491" i="1"/>
  <c r="CZ490" i="1"/>
  <c r="CY490" i="1"/>
  <c r="CU490" i="1"/>
  <c r="CS490" i="1"/>
  <c r="CR490" i="1"/>
  <c r="CQ490" i="1"/>
  <c r="CP490" i="1"/>
  <c r="CO490" i="1"/>
  <c r="CN490" i="1"/>
  <c r="CM490" i="1"/>
  <c r="CL490" i="1"/>
  <c r="CK490" i="1"/>
  <c r="CI490" i="1"/>
  <c r="CH490" i="1"/>
  <c r="CD490" i="1"/>
  <c r="CC490" i="1"/>
  <c r="BZ490" i="1"/>
  <c r="BY490" i="1"/>
  <c r="BX490" i="1"/>
  <c r="BV490" i="1"/>
  <c r="BU490" i="1"/>
  <c r="BT490" i="1"/>
  <c r="BS490" i="1"/>
  <c r="BR490" i="1"/>
  <c r="BP490" i="1"/>
  <c r="BO490" i="1"/>
  <c r="BN490" i="1"/>
  <c r="BM490" i="1"/>
  <c r="BL490" i="1"/>
  <c r="BJ490" i="1"/>
  <c r="BI490" i="1"/>
  <c r="BF490" i="1"/>
  <c r="BE490" i="1"/>
  <c r="BD490" i="1"/>
  <c r="BC490" i="1"/>
  <c r="BB490" i="1"/>
  <c r="AZ490" i="1"/>
  <c r="AY490" i="1"/>
  <c r="AU490" i="1"/>
  <c r="AT490" i="1"/>
  <c r="AS490" i="1"/>
  <c r="AR490" i="1"/>
  <c r="AP490" i="1"/>
  <c r="AN490" i="1"/>
  <c r="AL490" i="1"/>
  <c r="AK490" i="1"/>
  <c r="AJ490" i="1"/>
  <c r="AI490" i="1"/>
  <c r="AH490" i="1"/>
  <c r="AF490" i="1"/>
  <c r="AE490" i="1"/>
  <c r="AD490" i="1"/>
  <c r="Y490" i="1"/>
  <c r="X490" i="1"/>
  <c r="W490" i="1"/>
  <c r="V490" i="1"/>
  <c r="U490" i="1"/>
  <c r="Q490" i="1"/>
  <c r="P490" i="1"/>
  <c r="O490" i="1"/>
  <c r="N490" i="1"/>
  <c r="M490" i="1"/>
  <c r="L490" i="1"/>
  <c r="K490" i="1"/>
  <c r="J490" i="1"/>
  <c r="I490" i="1"/>
  <c r="D490" i="1"/>
  <c r="CZ489" i="1"/>
  <c r="CY489" i="1"/>
  <c r="CV489" i="1"/>
  <c r="CU489" i="1"/>
  <c r="CS489" i="1"/>
  <c r="CR489" i="1"/>
  <c r="CQ489" i="1"/>
  <c r="CP489" i="1"/>
  <c r="CO489" i="1"/>
  <c r="CN489" i="1"/>
  <c r="CM489" i="1"/>
  <c r="CL489" i="1"/>
  <c r="CK489" i="1"/>
  <c r="CI489" i="1"/>
  <c r="CH489" i="1"/>
  <c r="CE489" i="1"/>
  <c r="CD489" i="1"/>
  <c r="CC489" i="1"/>
  <c r="BZ489" i="1"/>
  <c r="BX489" i="1"/>
  <c r="BV489" i="1"/>
  <c r="BU489" i="1"/>
  <c r="BT489" i="1"/>
  <c r="BS489" i="1"/>
  <c r="BR489" i="1"/>
  <c r="BQ489" i="1"/>
  <c r="BP489" i="1"/>
  <c r="BO489" i="1"/>
  <c r="BN489" i="1"/>
  <c r="BM489" i="1"/>
  <c r="BL489" i="1"/>
  <c r="BJ489" i="1"/>
  <c r="BI489" i="1"/>
  <c r="BF489" i="1"/>
  <c r="BE489" i="1"/>
  <c r="BD489" i="1"/>
  <c r="BC489" i="1"/>
  <c r="BB489" i="1"/>
  <c r="AZ489" i="1"/>
  <c r="AY489" i="1"/>
  <c r="AU489" i="1"/>
  <c r="AT489" i="1"/>
  <c r="AS489" i="1"/>
  <c r="AR489" i="1"/>
  <c r="AP489" i="1"/>
  <c r="AN489" i="1"/>
  <c r="AL489" i="1"/>
  <c r="AK489" i="1"/>
  <c r="AJ489" i="1"/>
  <c r="AI489" i="1"/>
  <c r="AH489" i="1"/>
  <c r="AF489" i="1"/>
  <c r="AE489" i="1"/>
  <c r="AD489" i="1"/>
  <c r="Z489" i="1"/>
  <c r="Y489" i="1"/>
  <c r="X489" i="1"/>
  <c r="W489" i="1"/>
  <c r="V489" i="1"/>
  <c r="U489" i="1"/>
  <c r="Q489" i="1"/>
  <c r="P489" i="1"/>
  <c r="O489" i="1"/>
  <c r="N489" i="1"/>
  <c r="M489" i="1"/>
  <c r="L489" i="1"/>
  <c r="K489" i="1"/>
  <c r="J489" i="1"/>
  <c r="I489" i="1"/>
  <c r="D489" i="1"/>
  <c r="J285" i="4"/>
  <c r="CX489" i="1" s="1"/>
  <c r="J284" i="4"/>
  <c r="CW489" i="1" s="1"/>
  <c r="J282" i="4"/>
  <c r="J280" i="4"/>
  <c r="CT489" i="1" s="1"/>
  <c r="T269" i="4"/>
  <c r="I269" i="4"/>
  <c r="O269" i="4" s="1"/>
  <c r="T268" i="4"/>
  <c r="I268" i="4"/>
  <c r="O268" i="4" s="1"/>
  <c r="T267" i="4"/>
  <c r="I267" i="4"/>
  <c r="O267" i="4" s="1"/>
  <c r="T266" i="4"/>
  <c r="I266" i="4"/>
  <c r="O266" i="4" s="1"/>
  <c r="T265" i="4"/>
  <c r="I265" i="4"/>
  <c r="O265" i="4" s="1"/>
  <c r="T264" i="4"/>
  <c r="I264" i="4"/>
  <c r="O264" i="4" s="1"/>
  <c r="T263" i="4"/>
  <c r="I263" i="4"/>
  <c r="O263" i="4" s="1"/>
  <c r="T262" i="4"/>
  <c r="I262" i="4"/>
  <c r="O262" i="4" s="1"/>
  <c r="T261" i="4"/>
  <c r="I261" i="4"/>
  <c r="O261" i="4" s="1"/>
  <c r="T260" i="4"/>
  <c r="I260" i="4"/>
  <c r="O260" i="4" s="1"/>
  <c r="J233" i="4"/>
  <c r="CG489" i="1" s="1"/>
  <c r="J232" i="4"/>
  <c r="CF489" i="1" s="1"/>
  <c r="J231" i="4"/>
  <c r="H229" i="4"/>
  <c r="L229" i="4" s="1"/>
  <c r="J220" i="4"/>
  <c r="CB489" i="1" s="1"/>
  <c r="J200" i="4"/>
  <c r="CA489" i="1" s="1"/>
  <c r="J165" i="4"/>
  <c r="BY489" i="1" s="1"/>
  <c r="J142" i="4"/>
  <c r="BW489" i="1" s="1"/>
  <c r="I140" i="4"/>
  <c r="D140" i="4"/>
  <c r="J130" i="4"/>
  <c r="I128" i="4"/>
  <c r="D128" i="4"/>
  <c r="J114" i="4"/>
  <c r="BK489" i="1" s="1"/>
  <c r="J113" i="4"/>
  <c r="G113" i="4"/>
  <c r="K88" i="4" s="1"/>
  <c r="AW489" i="1" s="1"/>
  <c r="K97" i="4"/>
  <c r="BG489" i="1" s="1"/>
  <c r="K87" i="4"/>
  <c r="AV489" i="1" s="1"/>
  <c r="K67" i="4"/>
  <c r="AQ489" i="1" s="1"/>
  <c r="F63" i="4"/>
  <c r="F65" i="4" s="1"/>
  <c r="AO489" i="1" s="1"/>
  <c r="J39" i="4"/>
  <c r="AG489" i="1" s="1"/>
  <c r="J23" i="4"/>
  <c r="K14" i="4"/>
  <c r="T489" i="1" s="1"/>
  <c r="J285" i="5"/>
  <c r="CX490" i="1" s="1"/>
  <c r="J284" i="5"/>
  <c r="CW490" i="1" s="1"/>
  <c r="J282" i="5"/>
  <c r="CV490" i="1" s="1"/>
  <c r="J280" i="5"/>
  <c r="CT490" i="1" s="1"/>
  <c r="T269" i="5"/>
  <c r="I269" i="5"/>
  <c r="O269" i="5" s="1"/>
  <c r="T268" i="5"/>
  <c r="I268" i="5"/>
  <c r="O268" i="5" s="1"/>
  <c r="T267" i="5"/>
  <c r="I267" i="5"/>
  <c r="O267" i="5" s="1"/>
  <c r="T266" i="5"/>
  <c r="I266" i="5"/>
  <c r="O266" i="5" s="1"/>
  <c r="T265" i="5"/>
  <c r="I265" i="5"/>
  <c r="O265" i="5" s="1"/>
  <c r="T264" i="5"/>
  <c r="I264" i="5"/>
  <c r="O264" i="5" s="1"/>
  <c r="T263" i="5"/>
  <c r="I263" i="5"/>
  <c r="O263" i="5" s="1"/>
  <c r="T262" i="5"/>
  <c r="I262" i="5"/>
  <c r="O262" i="5" s="1"/>
  <c r="T261" i="5"/>
  <c r="I261" i="5"/>
  <c r="O261" i="5" s="1"/>
  <c r="T260" i="5"/>
  <c r="I260" i="5"/>
  <c r="O260" i="5" s="1"/>
  <c r="J233" i="5"/>
  <c r="CG490" i="1" s="1"/>
  <c r="J232" i="5"/>
  <c r="CF490" i="1" s="1"/>
  <c r="J231" i="5"/>
  <c r="CE490" i="1" s="1"/>
  <c r="H229" i="5"/>
  <c r="L229" i="5" s="1"/>
  <c r="J220" i="5"/>
  <c r="CB490" i="1" s="1"/>
  <c r="J200" i="5"/>
  <c r="CA490" i="1" s="1"/>
  <c r="J165" i="5"/>
  <c r="J142" i="5"/>
  <c r="BW490" i="1" s="1"/>
  <c r="I140" i="5"/>
  <c r="D140" i="5"/>
  <c r="J130" i="5"/>
  <c r="BQ490" i="1" s="1"/>
  <c r="I128" i="5"/>
  <c r="D128" i="5"/>
  <c r="J114" i="5"/>
  <c r="BK490" i="1" s="1"/>
  <c r="J113" i="5"/>
  <c r="G113" i="5"/>
  <c r="K88" i="5" s="1"/>
  <c r="AW490" i="1" s="1"/>
  <c r="K97" i="5"/>
  <c r="BG490" i="1" s="1"/>
  <c r="K87" i="5"/>
  <c r="AV490" i="1" s="1"/>
  <c r="K67" i="5"/>
  <c r="AQ490" i="1" s="1"/>
  <c r="F63" i="5"/>
  <c r="F65" i="5" s="1"/>
  <c r="AO490" i="1" s="1"/>
  <c r="J39" i="5"/>
  <c r="AG490" i="1" s="1"/>
  <c r="J23" i="5"/>
  <c r="Z490" i="1" s="1"/>
  <c r="K14" i="5"/>
  <c r="T490" i="1" s="1"/>
  <c r="J285" i="6"/>
  <c r="CX491" i="1" s="1"/>
  <c r="J284" i="6"/>
  <c r="CW491" i="1" s="1"/>
  <c r="J282" i="6"/>
  <c r="CV491" i="1" s="1"/>
  <c r="J280" i="6"/>
  <c r="CT491" i="1" s="1"/>
  <c r="T269" i="6"/>
  <c r="I269" i="6"/>
  <c r="O269" i="6" s="1"/>
  <c r="T268" i="6"/>
  <c r="I268" i="6"/>
  <c r="O268" i="6" s="1"/>
  <c r="T267" i="6"/>
  <c r="I267" i="6"/>
  <c r="O267" i="6" s="1"/>
  <c r="T266" i="6"/>
  <c r="I266" i="6"/>
  <c r="O266" i="6" s="1"/>
  <c r="T265" i="6"/>
  <c r="I265" i="6"/>
  <c r="O265" i="6" s="1"/>
  <c r="T264" i="6"/>
  <c r="I264" i="6"/>
  <c r="O264" i="6" s="1"/>
  <c r="T263" i="6"/>
  <c r="I263" i="6"/>
  <c r="O263" i="6" s="1"/>
  <c r="T262" i="6"/>
  <c r="I262" i="6"/>
  <c r="O262" i="6" s="1"/>
  <c r="T261" i="6"/>
  <c r="I261" i="6"/>
  <c r="O261" i="6" s="1"/>
  <c r="T260" i="6"/>
  <c r="I260" i="6"/>
  <c r="O260" i="6" s="1"/>
  <c r="J233" i="6"/>
  <c r="CG491" i="1" s="1"/>
  <c r="J232" i="6"/>
  <c r="CF491" i="1" s="1"/>
  <c r="J231" i="6"/>
  <c r="CE491" i="1" s="1"/>
  <c r="H229" i="6"/>
  <c r="L229" i="6" s="1"/>
  <c r="J220" i="6"/>
  <c r="CB491" i="1" s="1"/>
  <c r="J200" i="6"/>
  <c r="CA491" i="1" s="1"/>
  <c r="J165" i="6"/>
  <c r="J142" i="6"/>
  <c r="BW491" i="1" s="1"/>
  <c r="I140" i="6"/>
  <c r="D140" i="6"/>
  <c r="J130" i="6"/>
  <c r="BQ491" i="1" s="1"/>
  <c r="I128" i="6"/>
  <c r="D128" i="6"/>
  <c r="J114" i="6"/>
  <c r="BK491" i="1" s="1"/>
  <c r="J113" i="6"/>
  <c r="G113" i="6"/>
  <c r="K88" i="6" s="1"/>
  <c r="AW491" i="1" s="1"/>
  <c r="K97" i="6"/>
  <c r="BG491" i="1" s="1"/>
  <c r="K87" i="6"/>
  <c r="AV491" i="1" s="1"/>
  <c r="K67" i="6"/>
  <c r="AQ491" i="1" s="1"/>
  <c r="F63" i="6"/>
  <c r="F65" i="6" s="1"/>
  <c r="AO491" i="1" s="1"/>
  <c r="J39" i="6"/>
  <c r="AG491" i="1" s="1"/>
  <c r="J23" i="6"/>
  <c r="Z491" i="1" s="1"/>
  <c r="K14" i="6"/>
  <c r="T491" i="1" s="1"/>
  <c r="J285" i="7"/>
  <c r="CX492" i="1" s="1"/>
  <c r="J284" i="7"/>
  <c r="CW492" i="1" s="1"/>
  <c r="J282" i="7"/>
  <c r="CV492" i="1" s="1"/>
  <c r="J280" i="7"/>
  <c r="CT492" i="1" s="1"/>
  <c r="T269" i="7"/>
  <c r="I269" i="7"/>
  <c r="O269" i="7" s="1"/>
  <c r="T268" i="7"/>
  <c r="I268" i="7"/>
  <c r="O268" i="7" s="1"/>
  <c r="T267" i="7"/>
  <c r="I267" i="7"/>
  <c r="O267" i="7" s="1"/>
  <c r="T266" i="7"/>
  <c r="I266" i="7"/>
  <c r="O266" i="7" s="1"/>
  <c r="T265" i="7"/>
  <c r="I265" i="7"/>
  <c r="O265" i="7" s="1"/>
  <c r="T264" i="7"/>
  <c r="I264" i="7"/>
  <c r="O264" i="7" s="1"/>
  <c r="T263" i="7"/>
  <c r="I263" i="7"/>
  <c r="O263" i="7" s="1"/>
  <c r="T262" i="7"/>
  <c r="I262" i="7"/>
  <c r="O262" i="7" s="1"/>
  <c r="T261" i="7"/>
  <c r="I261" i="7"/>
  <c r="O261" i="7" s="1"/>
  <c r="T260" i="7"/>
  <c r="I260" i="7"/>
  <c r="O260" i="7" s="1"/>
  <c r="J233" i="7"/>
  <c r="CG492" i="1" s="1"/>
  <c r="J232" i="7"/>
  <c r="CF492" i="1" s="1"/>
  <c r="J231" i="7"/>
  <c r="CE492" i="1" s="1"/>
  <c r="H229" i="7"/>
  <c r="L229" i="7" s="1"/>
  <c r="J220" i="7"/>
  <c r="CB492" i="1" s="1"/>
  <c r="J200" i="7"/>
  <c r="CA492" i="1" s="1"/>
  <c r="J165" i="7"/>
  <c r="BY492" i="1" s="1"/>
  <c r="J142" i="7"/>
  <c r="BW492" i="1" s="1"/>
  <c r="I140" i="7"/>
  <c r="D140" i="7"/>
  <c r="J130" i="7"/>
  <c r="BQ492" i="1" s="1"/>
  <c r="I128" i="7"/>
  <c r="D128" i="7"/>
  <c r="J114" i="7"/>
  <c r="BK492" i="1" s="1"/>
  <c r="J113" i="7"/>
  <c r="G113" i="7"/>
  <c r="K88" i="7" s="1"/>
  <c r="AW492" i="1" s="1"/>
  <c r="K97" i="7"/>
  <c r="BG492" i="1" s="1"/>
  <c r="K87" i="7"/>
  <c r="AV492" i="1" s="1"/>
  <c r="K67" i="7"/>
  <c r="AQ492" i="1" s="1"/>
  <c r="F63" i="7"/>
  <c r="F65" i="7" s="1"/>
  <c r="AO492" i="1" s="1"/>
  <c r="J39" i="7"/>
  <c r="AG492" i="1" s="1"/>
  <c r="J23" i="7"/>
  <c r="Z492" i="1" s="1"/>
  <c r="K14" i="7"/>
  <c r="T492" i="1" s="1"/>
  <c r="J285" i="8"/>
  <c r="CX493" i="1" s="1"/>
  <c r="J284" i="8"/>
  <c r="CW493" i="1" s="1"/>
  <c r="J282" i="8"/>
  <c r="J280" i="8"/>
  <c r="CT493" i="1" s="1"/>
  <c r="T269" i="8"/>
  <c r="I269" i="8"/>
  <c r="O269" i="8" s="1"/>
  <c r="T268" i="8"/>
  <c r="I268" i="8"/>
  <c r="O268" i="8" s="1"/>
  <c r="T267" i="8"/>
  <c r="I267" i="8"/>
  <c r="O267" i="8" s="1"/>
  <c r="T266" i="8"/>
  <c r="I266" i="8"/>
  <c r="O266" i="8" s="1"/>
  <c r="T265" i="8"/>
  <c r="I265" i="8"/>
  <c r="O265" i="8" s="1"/>
  <c r="T264" i="8"/>
  <c r="I264" i="8"/>
  <c r="O264" i="8" s="1"/>
  <c r="T263" i="8"/>
  <c r="I263" i="8"/>
  <c r="O263" i="8" s="1"/>
  <c r="T262" i="8"/>
  <c r="I262" i="8"/>
  <c r="O262" i="8" s="1"/>
  <c r="T261" i="8"/>
  <c r="I261" i="8"/>
  <c r="O261" i="8" s="1"/>
  <c r="T260" i="8"/>
  <c r="I260" i="8"/>
  <c r="O260" i="8" s="1"/>
  <c r="J233" i="8"/>
  <c r="CG493" i="1" s="1"/>
  <c r="J232" i="8"/>
  <c r="J231" i="8"/>
  <c r="CE493" i="1" s="1"/>
  <c r="H229" i="8"/>
  <c r="L229" i="8" s="1"/>
  <c r="J220" i="8"/>
  <c r="CB493" i="1" s="1"/>
  <c r="J200" i="8"/>
  <c r="CA493" i="1" s="1"/>
  <c r="J165" i="8"/>
  <c r="BY493" i="1" s="1"/>
  <c r="J142" i="8"/>
  <c r="BW493" i="1" s="1"/>
  <c r="I140" i="8"/>
  <c r="D140" i="8"/>
  <c r="J130" i="8"/>
  <c r="BQ493" i="1" s="1"/>
  <c r="I128" i="8"/>
  <c r="D128" i="8"/>
  <c r="J114" i="8"/>
  <c r="BK493" i="1" s="1"/>
  <c r="J113" i="8"/>
  <c r="G113" i="8"/>
  <c r="K88" i="8" s="1"/>
  <c r="AW493" i="1" s="1"/>
  <c r="K97" i="8"/>
  <c r="BG493" i="1" s="1"/>
  <c r="K87" i="8"/>
  <c r="K67" i="8"/>
  <c r="AQ493" i="1" s="1"/>
  <c r="F63" i="8"/>
  <c r="F65" i="8" s="1"/>
  <c r="AO493" i="1" s="1"/>
  <c r="J39" i="8"/>
  <c r="AG493" i="1" s="1"/>
  <c r="J23" i="8"/>
  <c r="Z493" i="1" s="1"/>
  <c r="K14" i="8"/>
  <c r="T493" i="1" s="1"/>
  <c r="J285" i="9"/>
  <c r="CX494" i="1" s="1"/>
  <c r="J284" i="9"/>
  <c r="CW494" i="1" s="1"/>
  <c r="J282" i="9"/>
  <c r="CV494" i="1" s="1"/>
  <c r="J280" i="9"/>
  <c r="CT494" i="1" s="1"/>
  <c r="T269" i="9"/>
  <c r="I269" i="9"/>
  <c r="O269" i="9" s="1"/>
  <c r="T268" i="9"/>
  <c r="I268" i="9"/>
  <c r="O268" i="9" s="1"/>
  <c r="T267" i="9"/>
  <c r="I267" i="9"/>
  <c r="O267" i="9" s="1"/>
  <c r="T266" i="9"/>
  <c r="I266" i="9"/>
  <c r="O266" i="9" s="1"/>
  <c r="T265" i="9"/>
  <c r="I265" i="9"/>
  <c r="O265" i="9" s="1"/>
  <c r="T264" i="9"/>
  <c r="I264" i="9"/>
  <c r="O264" i="9" s="1"/>
  <c r="T263" i="9"/>
  <c r="I263" i="9"/>
  <c r="O263" i="9" s="1"/>
  <c r="T262" i="9"/>
  <c r="I262" i="9"/>
  <c r="O262" i="9" s="1"/>
  <c r="T261" i="9"/>
  <c r="I261" i="9"/>
  <c r="O261" i="9" s="1"/>
  <c r="T260" i="9"/>
  <c r="I260" i="9"/>
  <c r="O260" i="9" s="1"/>
  <c r="J233" i="9"/>
  <c r="CG494" i="1" s="1"/>
  <c r="J232" i="9"/>
  <c r="J231" i="9"/>
  <c r="CE494" i="1" s="1"/>
  <c r="H229" i="9"/>
  <c r="L229" i="9" s="1"/>
  <c r="J220" i="9"/>
  <c r="CB494" i="1" s="1"/>
  <c r="J200" i="9"/>
  <c r="CA494" i="1" s="1"/>
  <c r="J165" i="9"/>
  <c r="BY494" i="1" s="1"/>
  <c r="J142" i="9"/>
  <c r="BW494" i="1" s="1"/>
  <c r="I140" i="9"/>
  <c r="D140" i="9"/>
  <c r="J130" i="9"/>
  <c r="BQ494" i="1" s="1"/>
  <c r="I128" i="9"/>
  <c r="D128" i="9"/>
  <c r="J114" i="9"/>
  <c r="BK494" i="1" s="1"/>
  <c r="J113" i="9"/>
  <c r="K87" i="9" s="1"/>
  <c r="AV494" i="1" s="1"/>
  <c r="G113" i="9"/>
  <c r="K88" i="9" s="1"/>
  <c r="AW494" i="1" s="1"/>
  <c r="K97" i="9"/>
  <c r="BG494" i="1" s="1"/>
  <c r="K67" i="9"/>
  <c r="AQ494" i="1" s="1"/>
  <c r="F63" i="9"/>
  <c r="F65" i="9" s="1"/>
  <c r="AO494" i="1" s="1"/>
  <c r="J39" i="9"/>
  <c r="AG494" i="1" s="1"/>
  <c r="J23" i="9"/>
  <c r="Z494" i="1" s="1"/>
  <c r="K14" i="9"/>
  <c r="T494" i="1" s="1"/>
  <c r="J285" i="10"/>
  <c r="CX495" i="1" s="1"/>
  <c r="J284" i="10"/>
  <c r="CW495" i="1" s="1"/>
  <c r="J282" i="10"/>
  <c r="CV495" i="1" s="1"/>
  <c r="J280" i="10"/>
  <c r="CT495" i="1" s="1"/>
  <c r="T269" i="10"/>
  <c r="I269" i="10"/>
  <c r="O269" i="10" s="1"/>
  <c r="T268" i="10"/>
  <c r="I268" i="10"/>
  <c r="O268" i="10" s="1"/>
  <c r="T267" i="10"/>
  <c r="I267" i="10"/>
  <c r="O267" i="10" s="1"/>
  <c r="T266" i="10"/>
  <c r="I266" i="10"/>
  <c r="O266" i="10" s="1"/>
  <c r="T265" i="10"/>
  <c r="I265" i="10"/>
  <c r="O265" i="10" s="1"/>
  <c r="T264" i="10"/>
  <c r="I264" i="10"/>
  <c r="O264" i="10" s="1"/>
  <c r="T263" i="10"/>
  <c r="I263" i="10"/>
  <c r="O263" i="10" s="1"/>
  <c r="T262" i="10"/>
  <c r="I262" i="10"/>
  <c r="O262" i="10" s="1"/>
  <c r="T261" i="10"/>
  <c r="I261" i="10"/>
  <c r="O261" i="10" s="1"/>
  <c r="T260" i="10"/>
  <c r="I260" i="10"/>
  <c r="O260" i="10" s="1"/>
  <c r="J270" i="10" s="1"/>
  <c r="CJ495" i="1" s="1"/>
  <c r="J233" i="10"/>
  <c r="CG495" i="1" s="1"/>
  <c r="J232" i="10"/>
  <c r="CF495" i="1" s="1"/>
  <c r="J231" i="10"/>
  <c r="CE495" i="1" s="1"/>
  <c r="H229" i="10"/>
  <c r="L229" i="10" s="1"/>
  <c r="J220" i="10"/>
  <c r="CB495" i="1" s="1"/>
  <c r="J200" i="10"/>
  <c r="CA495" i="1" s="1"/>
  <c r="J165" i="10"/>
  <c r="BY495" i="1" s="1"/>
  <c r="J142" i="10"/>
  <c r="BW495" i="1" s="1"/>
  <c r="I140" i="10"/>
  <c r="D140" i="10"/>
  <c r="J130" i="10"/>
  <c r="BQ495" i="1" s="1"/>
  <c r="I128" i="10"/>
  <c r="D128" i="10"/>
  <c r="J114" i="10"/>
  <c r="BK495" i="1" s="1"/>
  <c r="J113" i="10"/>
  <c r="K87" i="10" s="1"/>
  <c r="AV495" i="1" s="1"/>
  <c r="G113" i="10"/>
  <c r="K88" i="10" s="1"/>
  <c r="AW495" i="1" s="1"/>
  <c r="K97" i="10"/>
  <c r="BG495" i="1" s="1"/>
  <c r="K67" i="10"/>
  <c r="AQ495" i="1" s="1"/>
  <c r="F63" i="10"/>
  <c r="F65" i="10" s="1"/>
  <c r="AO495" i="1" s="1"/>
  <c r="J39" i="10"/>
  <c r="AG495" i="1" s="1"/>
  <c r="J23" i="10"/>
  <c r="Z495" i="1" s="1"/>
  <c r="K14" i="10"/>
  <c r="T495" i="1" s="1"/>
  <c r="T2" i="10"/>
  <c r="T2" i="6"/>
  <c r="T2" i="7"/>
  <c r="T2" i="9"/>
  <c r="T2" i="8"/>
  <c r="T2" i="4"/>
  <c r="T2" i="5"/>
  <c r="J270" i="6" l="1"/>
  <c r="CJ491" i="1" s="1"/>
  <c r="J270" i="5"/>
  <c r="CJ490" i="1" s="1"/>
  <c r="J270" i="7"/>
  <c r="CJ492" i="1" s="1"/>
  <c r="J270" i="8"/>
  <c r="CJ493" i="1" s="1"/>
  <c r="J270" i="4"/>
  <c r="CJ489" i="1" s="1"/>
  <c r="J270" i="9"/>
  <c r="CJ494" i="1" s="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K89" i="10"/>
  <c r="K89" i="9"/>
  <c r="K89" i="8"/>
  <c r="K89" i="7"/>
  <c r="K89" i="6"/>
  <c r="K89" i="5"/>
  <c r="K89" i="4"/>
  <c r="AM489" i="1"/>
  <c r="AM490" i="1"/>
  <c r="AM491" i="1"/>
  <c r="AM492" i="1"/>
  <c r="AM493" i="1"/>
  <c r="AM494" i="1"/>
  <c r="AM495" i="1"/>
  <c r="E495" i="1"/>
  <c r="E494" i="1"/>
  <c r="E493" i="1"/>
  <c r="E492" i="1"/>
  <c r="E491" i="1"/>
  <c r="E490" i="1"/>
  <c r="E489" i="1"/>
  <c r="K5" i="20"/>
  <c r="H5" i="20"/>
  <c r="F5" i="20"/>
  <c r="D5" i="20"/>
  <c r="B5" i="20"/>
  <c r="K4" i="20"/>
  <c r="B4" i="20"/>
  <c r="G2" i="20"/>
  <c r="A2" i="20"/>
  <c r="I36" i="11"/>
  <c r="G36" i="11"/>
  <c r="H26" i="11"/>
  <c r="G26" i="11"/>
  <c r="H22" i="11"/>
  <c r="G22" i="11"/>
  <c r="H14" i="11"/>
  <c r="G14" i="11"/>
  <c r="H12" i="11"/>
  <c r="G12" i="11"/>
  <c r="J5" i="11"/>
  <c r="G5" i="11"/>
  <c r="E5" i="11"/>
  <c r="C5" i="11"/>
  <c r="B5" i="11"/>
  <c r="J4" i="11"/>
  <c r="B4" i="11"/>
  <c r="G2" i="11"/>
  <c r="A2" i="11"/>
  <c r="I2" i="10"/>
  <c r="G2" i="5"/>
  <c r="B2" i="8"/>
  <c r="B2" i="10"/>
  <c r="G2" i="8"/>
  <c r="B2" i="9"/>
  <c r="I2" i="7"/>
  <c r="I2" i="6"/>
  <c r="G2" i="9"/>
  <c r="B2" i="7"/>
  <c r="G2" i="4"/>
  <c r="I2" i="5"/>
  <c r="G2" i="10"/>
  <c r="I2" i="8"/>
  <c r="B2" i="4"/>
  <c r="B2" i="6"/>
  <c r="B2" i="5"/>
  <c r="I2" i="9"/>
  <c r="I2" i="4"/>
  <c r="G2" i="7"/>
  <c r="G2" i="6"/>
  <c r="K92" i="7" l="1"/>
  <c r="AX492" i="1"/>
  <c r="K92" i="4"/>
  <c r="AX489" i="1"/>
  <c r="K92" i="8"/>
  <c r="AX493" i="1"/>
  <c r="K92" i="5"/>
  <c r="AX490" i="1"/>
  <c r="K92" i="9"/>
  <c r="AX494" i="1"/>
  <c r="K92" i="6"/>
  <c r="AX491" i="1"/>
  <c r="K92" i="10"/>
  <c r="AX495" i="1"/>
  <c r="H495" i="1"/>
  <c r="H494" i="1"/>
  <c r="H493" i="1"/>
  <c r="H492" i="1"/>
  <c r="H491" i="1"/>
  <c r="H490" i="1"/>
  <c r="H489" i="1"/>
  <c r="H509" i="2"/>
  <c r="H495" i="2"/>
  <c r="H481" i="2"/>
  <c r="H465" i="2"/>
  <c r="H447" i="2"/>
  <c r="H433" i="2"/>
  <c r="H419" i="2"/>
  <c r="H405" i="2"/>
  <c r="H391" i="2"/>
  <c r="H377" i="2"/>
  <c r="H360" i="2"/>
  <c r="H204" i="2"/>
  <c r="H158" i="2"/>
  <c r="H142" i="2"/>
  <c r="H124" i="2"/>
  <c r="H110" i="2"/>
  <c r="H96" i="2"/>
  <c r="H82" i="2"/>
  <c r="G509" i="2"/>
  <c r="G495" i="2"/>
  <c r="G481" i="2"/>
  <c r="G465" i="2"/>
  <c r="G447" i="2"/>
  <c r="G433" i="2"/>
  <c r="G419" i="2"/>
  <c r="G405" i="2"/>
  <c r="G391" i="2"/>
  <c r="G377" i="2"/>
  <c r="G360" i="2"/>
  <c r="G204" i="2"/>
  <c r="G158" i="2"/>
  <c r="G142" i="2"/>
  <c r="G124" i="2"/>
  <c r="G110" i="2"/>
  <c r="G96" i="2"/>
  <c r="G82" i="2"/>
  <c r="F509" i="2"/>
  <c r="F495" i="2"/>
  <c r="F481" i="2"/>
  <c r="F465" i="2"/>
  <c r="F447" i="2"/>
  <c r="F433" i="2"/>
  <c r="F419" i="2"/>
  <c r="F405" i="2"/>
  <c r="F391" i="2"/>
  <c r="F377" i="2"/>
  <c r="F360" i="2"/>
  <c r="F204" i="2"/>
  <c r="F158" i="2"/>
  <c r="F142" i="2"/>
  <c r="F124" i="2"/>
  <c r="F110" i="2"/>
  <c r="F96" i="2"/>
  <c r="F82" i="2"/>
  <c r="J507" i="2"/>
  <c r="J493" i="2"/>
  <c r="J479" i="2"/>
  <c r="J463" i="2"/>
  <c r="J445" i="2"/>
  <c r="J431" i="2"/>
  <c r="J417" i="2"/>
  <c r="J403" i="2"/>
  <c r="J389" i="2"/>
  <c r="J375" i="2"/>
  <c r="J358" i="2"/>
  <c r="J202" i="2"/>
  <c r="J156" i="2"/>
  <c r="J140" i="2"/>
  <c r="J122" i="2"/>
  <c r="J108" i="2"/>
  <c r="J94" i="2"/>
  <c r="J80" i="2"/>
  <c r="I507" i="2"/>
  <c r="I493" i="2"/>
  <c r="I479" i="2"/>
  <c r="I463" i="2"/>
  <c r="I445" i="2"/>
  <c r="I431" i="2"/>
  <c r="I417" i="2"/>
  <c r="I403" i="2"/>
  <c r="I389" i="2"/>
  <c r="I375" i="2"/>
  <c r="I358" i="2"/>
  <c r="I202" i="2"/>
  <c r="I156" i="2"/>
  <c r="I140" i="2"/>
  <c r="I122" i="2"/>
  <c r="I108" i="2"/>
  <c r="I94" i="2"/>
  <c r="I80" i="2"/>
  <c r="H507" i="2"/>
  <c r="H493" i="2"/>
  <c r="H479" i="2"/>
  <c r="H463" i="2"/>
  <c r="H445" i="2"/>
  <c r="H431" i="2"/>
  <c r="H417" i="2"/>
  <c r="H403" i="2"/>
  <c r="H389" i="2"/>
  <c r="H375" i="2"/>
  <c r="H358" i="2"/>
  <c r="H202" i="2"/>
  <c r="H156" i="2"/>
  <c r="H140" i="2"/>
  <c r="H122" i="2"/>
  <c r="H108" i="2"/>
  <c r="H94" i="2"/>
  <c r="H80" i="2"/>
  <c r="G507" i="2"/>
  <c r="G493" i="2"/>
  <c r="G479" i="2"/>
  <c r="G463" i="2"/>
  <c r="G445" i="2"/>
  <c r="G431" i="2"/>
  <c r="G417" i="2"/>
  <c r="G403" i="2"/>
  <c r="G389" i="2"/>
  <c r="G375" i="2"/>
  <c r="G358" i="2"/>
  <c r="G202" i="2"/>
  <c r="G156" i="2"/>
  <c r="G140" i="2"/>
  <c r="G122" i="2"/>
  <c r="G108" i="2"/>
  <c r="G94" i="2"/>
  <c r="G80" i="2"/>
  <c r="K2" i="2"/>
  <c r="K98" i="6" l="1"/>
  <c r="BH491" i="1" s="1"/>
  <c r="BA491" i="1"/>
  <c r="K98" i="5"/>
  <c r="BH490" i="1" s="1"/>
  <c r="BA490" i="1"/>
  <c r="K98" i="4"/>
  <c r="BH489" i="1" s="1"/>
  <c r="BA489" i="1"/>
  <c r="K98" i="10"/>
  <c r="BH495" i="1" s="1"/>
  <c r="BA495" i="1"/>
  <c r="K98" i="9"/>
  <c r="BH494" i="1" s="1"/>
  <c r="BA494" i="1"/>
  <c r="K98" i="8"/>
  <c r="BH493" i="1" s="1"/>
  <c r="BA493" i="1"/>
  <c r="K98" i="7"/>
  <c r="BH492" i="1" s="1"/>
  <c r="BA492" i="1"/>
  <c r="BU488" i="1"/>
  <c r="BO488" i="1"/>
  <c r="BS488" i="1"/>
  <c r="BM488" i="1"/>
  <c r="I140" i="3" l="1"/>
  <c r="D140" i="3"/>
  <c r="I128" i="3"/>
  <c r="D128" i="3"/>
  <c r="D420" i="1" l="1"/>
  <c r="B420" i="1"/>
  <c r="C420" i="1"/>
  <c r="A420" i="1"/>
  <c r="D412" i="1"/>
  <c r="C412" i="1"/>
  <c r="B412" i="1"/>
  <c r="A412" i="1"/>
  <c r="B314" i="1"/>
  <c r="B313" i="1"/>
  <c r="B312" i="1"/>
  <c r="B311" i="1"/>
  <c r="I269" i="3" l="1"/>
  <c r="I268" i="3"/>
  <c r="I267" i="3"/>
  <c r="I266" i="3"/>
  <c r="I265" i="3"/>
  <c r="O265" i="3" s="1"/>
  <c r="I264" i="3"/>
  <c r="I263" i="3"/>
  <c r="O263" i="3" s="1"/>
  <c r="I262" i="3"/>
  <c r="O262" i="3" s="1"/>
  <c r="I261" i="3"/>
  <c r="I260" i="3"/>
  <c r="O269" i="3"/>
  <c r="O268" i="3"/>
  <c r="O267" i="3"/>
  <c r="O266" i="3"/>
  <c r="O264" i="3"/>
  <c r="O261" i="3"/>
  <c r="O260" i="3"/>
  <c r="J270" i="3" l="1"/>
  <c r="F368" i="1"/>
  <c r="F367" i="1"/>
  <c r="F366" i="1"/>
  <c r="F365" i="1"/>
  <c r="F364" i="1"/>
  <c r="F363" i="1"/>
  <c r="F362" i="1"/>
  <c r="F361" i="1"/>
  <c r="F356" i="1"/>
  <c r="F354" i="1"/>
  <c r="F352" i="1"/>
  <c r="F357" i="1"/>
  <c r="F355" i="1"/>
  <c r="F353" i="1"/>
  <c r="F351" i="1"/>
  <c r="F350" i="1"/>
  <c r="D330" i="1" l="1"/>
  <c r="C330" i="1"/>
  <c r="C329" i="1"/>
  <c r="D329" i="1"/>
  <c r="D328" i="1"/>
  <c r="C328" i="1"/>
  <c r="D327" i="1"/>
  <c r="C327" i="1"/>
  <c r="D326" i="1"/>
  <c r="D325" i="1"/>
  <c r="D324" i="1"/>
  <c r="C326" i="1"/>
  <c r="C325" i="1"/>
  <c r="C324" i="1"/>
  <c r="D323" i="1"/>
  <c r="C323" i="1"/>
  <c r="D346" i="1"/>
  <c r="D345" i="1"/>
  <c r="D344" i="1"/>
  <c r="D343" i="1"/>
  <c r="D342" i="1"/>
  <c r="D341" i="1"/>
  <c r="D340" i="1"/>
  <c r="D339" i="1"/>
  <c r="C346" i="1"/>
  <c r="C345" i="1"/>
  <c r="C344" i="1"/>
  <c r="C343" i="1"/>
  <c r="C342" i="1"/>
  <c r="C341" i="1"/>
  <c r="C340" i="1"/>
  <c r="C339" i="1"/>
  <c r="E357" i="1"/>
  <c r="E356" i="1"/>
  <c r="E355" i="1"/>
  <c r="E354" i="1"/>
  <c r="E353" i="1"/>
  <c r="E352" i="1"/>
  <c r="E351" i="1"/>
  <c r="E350" i="1"/>
  <c r="C357" i="1"/>
  <c r="C356" i="1"/>
  <c r="C355" i="1"/>
  <c r="C354" i="1"/>
  <c r="C353" i="1"/>
  <c r="C352" i="1"/>
  <c r="C351" i="1"/>
  <c r="C350" i="1"/>
  <c r="E368" i="1"/>
  <c r="E367" i="1"/>
  <c r="E366" i="1"/>
  <c r="E365" i="1"/>
  <c r="E364" i="1"/>
  <c r="E363" i="1"/>
  <c r="E362" i="1"/>
  <c r="E361" i="1"/>
  <c r="C368" i="1"/>
  <c r="C367" i="1"/>
  <c r="C366" i="1"/>
  <c r="C365" i="1"/>
  <c r="C364" i="1"/>
  <c r="C363" i="1"/>
  <c r="C362" i="1"/>
  <c r="C361" i="1"/>
  <c r="F379" i="1"/>
  <c r="F378" i="1"/>
  <c r="F377" i="1"/>
  <c r="F376" i="1"/>
  <c r="F375" i="1"/>
  <c r="F374" i="1"/>
  <c r="F373" i="1"/>
  <c r="F372" i="1"/>
  <c r="D379" i="1"/>
  <c r="D378" i="1"/>
  <c r="D377" i="1"/>
  <c r="D376" i="1"/>
  <c r="D375" i="1"/>
  <c r="D374" i="1"/>
  <c r="D373" i="1"/>
  <c r="D372" i="1"/>
  <c r="C390" i="1"/>
  <c r="C389" i="1"/>
  <c r="C388" i="1"/>
  <c r="C387" i="1"/>
  <c r="C386" i="1"/>
  <c r="C385" i="1"/>
  <c r="C384" i="1"/>
  <c r="C383" i="1"/>
  <c r="D401" i="1"/>
  <c r="D400" i="1"/>
  <c r="D399" i="1"/>
  <c r="D398" i="1"/>
  <c r="D397" i="1"/>
  <c r="D396" i="1"/>
  <c r="D395" i="1"/>
  <c r="D394" i="1"/>
  <c r="D419" i="1"/>
  <c r="D418" i="1"/>
  <c r="D417" i="1"/>
  <c r="D416" i="1"/>
  <c r="D415" i="1"/>
  <c r="D414" i="1"/>
  <c r="D413" i="1"/>
  <c r="D411" i="1"/>
  <c r="D410" i="1"/>
  <c r="D409" i="1"/>
  <c r="D408" i="1"/>
  <c r="D407" i="1"/>
  <c r="D406" i="1"/>
  <c r="D405" i="1"/>
  <c r="D439" i="1"/>
  <c r="D438" i="1"/>
  <c r="D437" i="1"/>
  <c r="D436" i="1"/>
  <c r="D435" i="1"/>
  <c r="D434" i="1"/>
  <c r="D433" i="1"/>
  <c r="D432" i="1"/>
  <c r="D431" i="1"/>
  <c r="D430" i="1"/>
  <c r="D429" i="1"/>
  <c r="D428" i="1"/>
  <c r="D427" i="1"/>
  <c r="D426" i="1"/>
  <c r="D425" i="1"/>
  <c r="D424" i="1"/>
  <c r="D450" i="1"/>
  <c r="D449" i="1"/>
  <c r="D448" i="1"/>
  <c r="D447" i="1"/>
  <c r="D446" i="1"/>
  <c r="D445" i="1"/>
  <c r="D444" i="1"/>
  <c r="D443" i="1"/>
  <c r="C461" i="1"/>
  <c r="C460" i="1"/>
  <c r="C459" i="1"/>
  <c r="C458" i="1"/>
  <c r="C457" i="1"/>
  <c r="C456" i="1"/>
  <c r="C455" i="1"/>
  <c r="C454" i="1"/>
  <c r="C472" i="1"/>
  <c r="C471" i="1"/>
  <c r="C470" i="1"/>
  <c r="C469" i="1"/>
  <c r="C468" i="1"/>
  <c r="C467" i="1"/>
  <c r="C466" i="1"/>
  <c r="C465" i="1"/>
  <c r="D483" i="1"/>
  <c r="D482" i="1"/>
  <c r="D481" i="1"/>
  <c r="D480" i="1"/>
  <c r="D479" i="1"/>
  <c r="D478" i="1"/>
  <c r="D477" i="1"/>
  <c r="D476" i="1"/>
  <c r="C483" i="1"/>
  <c r="C482" i="1"/>
  <c r="B483" i="1"/>
  <c r="B482" i="1"/>
  <c r="B481" i="1"/>
  <c r="A483" i="1"/>
  <c r="A482" i="1"/>
  <c r="A481" i="1"/>
  <c r="D472" i="1"/>
  <c r="D471" i="1"/>
  <c r="D470" i="1"/>
  <c r="D469" i="1"/>
  <c r="D468" i="1"/>
  <c r="D467" i="1"/>
  <c r="D466" i="1"/>
  <c r="D465" i="1"/>
  <c r="A472" i="1"/>
  <c r="A471" i="1"/>
  <c r="D461" i="1"/>
  <c r="D460" i="1"/>
  <c r="D459" i="1"/>
  <c r="D458" i="1"/>
  <c r="D457" i="1"/>
  <c r="D456" i="1"/>
  <c r="D455" i="1"/>
  <c r="D454" i="1"/>
  <c r="A461" i="1"/>
  <c r="A460" i="1"/>
  <c r="B461" i="1"/>
  <c r="B460" i="1"/>
  <c r="C450" i="1"/>
  <c r="C449" i="1"/>
  <c r="A450" i="1"/>
  <c r="A449" i="1"/>
  <c r="A424" i="1"/>
  <c r="C439" i="1"/>
  <c r="B439" i="1"/>
  <c r="A439" i="1"/>
  <c r="C438" i="1"/>
  <c r="B438" i="1"/>
  <c r="A438" i="1"/>
  <c r="C437" i="1"/>
  <c r="B437" i="1"/>
  <c r="A437" i="1"/>
  <c r="C436" i="1"/>
  <c r="B436" i="1"/>
  <c r="A436" i="1"/>
  <c r="C435" i="1"/>
  <c r="B435" i="1"/>
  <c r="A435" i="1"/>
  <c r="C434" i="1"/>
  <c r="B434" i="1"/>
  <c r="A434" i="1"/>
  <c r="C433" i="1"/>
  <c r="B433" i="1"/>
  <c r="A433" i="1"/>
  <c r="C432" i="1"/>
  <c r="B432" i="1"/>
  <c r="A432" i="1"/>
  <c r="C431" i="1"/>
  <c r="B431" i="1"/>
  <c r="A431" i="1"/>
  <c r="C430" i="1"/>
  <c r="B430" i="1"/>
  <c r="A430" i="1"/>
  <c r="C429" i="1"/>
  <c r="B429" i="1"/>
  <c r="A429" i="1"/>
  <c r="C428" i="1"/>
  <c r="B428" i="1"/>
  <c r="A428" i="1"/>
  <c r="C427" i="1"/>
  <c r="B427" i="1"/>
  <c r="A427" i="1"/>
  <c r="C426" i="1"/>
  <c r="B426" i="1"/>
  <c r="A426" i="1"/>
  <c r="C425" i="1"/>
  <c r="B425" i="1"/>
  <c r="A425" i="1"/>
  <c r="C424" i="1"/>
  <c r="B424" i="1"/>
  <c r="C419" i="1"/>
  <c r="C418" i="1"/>
  <c r="C417" i="1"/>
  <c r="C416" i="1"/>
  <c r="C415" i="1"/>
  <c r="C414" i="1"/>
  <c r="C413" i="1"/>
  <c r="C411" i="1"/>
  <c r="C410" i="1"/>
  <c r="B419" i="1"/>
  <c r="B418" i="1"/>
  <c r="B417" i="1"/>
  <c r="B416" i="1"/>
  <c r="B415" i="1"/>
  <c r="B414" i="1"/>
  <c r="B413" i="1"/>
  <c r="B411" i="1"/>
  <c r="B410" i="1"/>
  <c r="A419" i="1"/>
  <c r="A418" i="1"/>
  <c r="A417" i="1"/>
  <c r="A416" i="1"/>
  <c r="A415" i="1"/>
  <c r="A414" i="1"/>
  <c r="A413" i="1"/>
  <c r="A411" i="1"/>
  <c r="A410" i="1"/>
  <c r="C401" i="1"/>
  <c r="C400" i="1"/>
  <c r="C399" i="1"/>
  <c r="A401" i="1"/>
  <c r="A400" i="1"/>
  <c r="A399" i="1"/>
  <c r="A394" i="1"/>
  <c r="A395" i="1"/>
  <c r="A396" i="1"/>
  <c r="A397" i="1"/>
  <c r="A398" i="1"/>
  <c r="D383" i="1"/>
  <c r="D390" i="1"/>
  <c r="D389" i="1"/>
  <c r="D388" i="1"/>
  <c r="D387" i="1"/>
  <c r="D386" i="1"/>
  <c r="D385" i="1"/>
  <c r="D384" i="1"/>
  <c r="B384" i="1"/>
  <c r="B390" i="1"/>
  <c r="B389" i="1"/>
  <c r="B388" i="1"/>
  <c r="B387" i="1"/>
  <c r="B386" i="1"/>
  <c r="B385" i="1"/>
  <c r="B383" i="1"/>
  <c r="C372" i="1"/>
  <c r="E379" i="1"/>
  <c r="C379" i="1"/>
  <c r="E378" i="1"/>
  <c r="C378" i="1"/>
  <c r="E377" i="1"/>
  <c r="C377" i="1"/>
  <c r="E376" i="1"/>
  <c r="C376" i="1"/>
  <c r="E375" i="1"/>
  <c r="C375" i="1"/>
  <c r="E374" i="1"/>
  <c r="C374" i="1"/>
  <c r="E373" i="1"/>
  <c r="C373" i="1"/>
  <c r="E372" i="1"/>
  <c r="B361" i="1"/>
  <c r="D368" i="1"/>
  <c r="B368" i="1"/>
  <c r="D367" i="1"/>
  <c r="B367" i="1"/>
  <c r="D366" i="1"/>
  <c r="B366" i="1"/>
  <c r="D365" i="1"/>
  <c r="B365" i="1"/>
  <c r="D364" i="1"/>
  <c r="B364" i="1"/>
  <c r="D363" i="1"/>
  <c r="B363" i="1"/>
  <c r="D362" i="1"/>
  <c r="B362" i="1"/>
  <c r="D361" i="1"/>
  <c r="D350" i="1"/>
  <c r="B357" i="1"/>
  <c r="B356" i="1"/>
  <c r="B355" i="1"/>
  <c r="B354" i="1"/>
  <c r="B353" i="1"/>
  <c r="B352" i="1"/>
  <c r="B351" i="1"/>
  <c r="D357" i="1"/>
  <c r="D356" i="1"/>
  <c r="D355" i="1"/>
  <c r="D354" i="1"/>
  <c r="D353" i="1"/>
  <c r="D352" i="1"/>
  <c r="D351" i="1"/>
  <c r="B350" i="1"/>
  <c r="A379" i="1"/>
  <c r="A378" i="1"/>
  <c r="A377" i="1"/>
  <c r="A376" i="1"/>
  <c r="A375" i="1"/>
  <c r="A374" i="1"/>
  <c r="A373" i="1"/>
  <c r="A372" i="1"/>
  <c r="A346" i="1"/>
  <c r="A345" i="1"/>
  <c r="A344" i="1"/>
  <c r="A343" i="1"/>
  <c r="B346" i="1"/>
  <c r="B345" i="1"/>
  <c r="B344" i="1"/>
  <c r="B343" i="1"/>
  <c r="B330" i="1"/>
  <c r="B329" i="1"/>
  <c r="B328" i="1"/>
  <c r="B327" i="1"/>
  <c r="A330" i="1"/>
  <c r="A329" i="1"/>
  <c r="A328" i="1"/>
  <c r="A327" i="1"/>
  <c r="C7" i="20" l="1"/>
  <c r="I36" i="12" l="1"/>
  <c r="J142" i="3"/>
  <c r="H11" i="18" l="1"/>
  <c r="H10" i="18"/>
  <c r="C495" i="1" l="1"/>
  <c r="B495" i="1"/>
  <c r="C494" i="1"/>
  <c r="B494" i="1"/>
  <c r="C493" i="1"/>
  <c r="B493" i="1"/>
  <c r="C492" i="1"/>
  <c r="B492" i="1"/>
  <c r="C491" i="1"/>
  <c r="B491" i="1"/>
  <c r="C490" i="1"/>
  <c r="B490" i="1"/>
  <c r="C489" i="1"/>
  <c r="B489" i="1"/>
  <c r="C488" i="1"/>
  <c r="B488" i="1"/>
  <c r="R495" i="1" l="1"/>
  <c r="R494" i="1"/>
  <c r="R493" i="1"/>
  <c r="R492" i="1"/>
  <c r="R491" i="1"/>
  <c r="R490" i="1"/>
  <c r="R489" i="1"/>
  <c r="R488" i="1"/>
  <c r="I26" i="11" l="1"/>
  <c r="I22" i="11"/>
  <c r="I14" i="11"/>
  <c r="I12" i="11"/>
  <c r="H32" i="12"/>
  <c r="H18" i="12"/>
  <c r="H16" i="12"/>
  <c r="H14" i="12"/>
  <c r="H12" i="12"/>
  <c r="G32" i="12"/>
  <c r="G18" i="12"/>
  <c r="G16" i="12"/>
  <c r="G14" i="12"/>
  <c r="G12" i="12"/>
  <c r="B4" i="12"/>
  <c r="B5" i="12"/>
  <c r="I2" i="12"/>
  <c r="G2" i="12"/>
  <c r="J5" i="12"/>
  <c r="J4" i="12"/>
  <c r="G5" i="12"/>
  <c r="C5" i="12"/>
  <c r="E5" i="12"/>
  <c r="A2" i="12"/>
  <c r="I16" i="12" l="1"/>
  <c r="I18" i="12"/>
  <c r="I12" i="12"/>
  <c r="I32" i="12"/>
  <c r="I14" i="12"/>
  <c r="ET13" i="1"/>
  <c r="H5" i="18" l="1"/>
  <c r="G5" i="13"/>
  <c r="K14" i="3"/>
  <c r="BB488" i="1" l="1"/>
  <c r="AY488" i="1"/>
  <c r="AT488" i="1"/>
  <c r="CZ488" i="1" l="1"/>
  <c r="CY488" i="1"/>
  <c r="J5" i="2" l="1"/>
  <c r="J4" i="2"/>
  <c r="J5" i="13"/>
  <c r="J4" i="13"/>
  <c r="I5" i="15"/>
  <c r="I4" i="15"/>
  <c r="F5" i="17"/>
  <c r="I5" i="17"/>
  <c r="I4" i="17"/>
  <c r="K5" i="18"/>
  <c r="K4" i="18"/>
  <c r="H13" i="1"/>
  <c r="I13" i="1"/>
  <c r="F5" i="15" l="1"/>
  <c r="K313" i="17" l="1"/>
  <c r="H313" i="17"/>
  <c r="J313" i="17" s="1"/>
  <c r="L313" i="17" s="1"/>
  <c r="K312" i="17"/>
  <c r="H312" i="17"/>
  <c r="J312" i="17" s="1"/>
  <c r="L312" i="17" s="1"/>
  <c r="K311" i="17"/>
  <c r="H311" i="17"/>
  <c r="J311" i="17" s="1"/>
  <c r="L311" i="17" s="1"/>
  <c r="K310" i="17"/>
  <c r="H310" i="17"/>
  <c r="J310" i="17" s="1"/>
  <c r="L310" i="17" s="1"/>
  <c r="K309" i="17"/>
  <c r="H309" i="17"/>
  <c r="J309" i="17" s="1"/>
  <c r="L309" i="17" s="1"/>
  <c r="K308" i="17"/>
  <c r="H308" i="17"/>
  <c r="J308" i="17" s="1"/>
  <c r="L308" i="17" s="1"/>
  <c r="K307" i="17"/>
  <c r="H307" i="17"/>
  <c r="J307" i="17" s="1"/>
  <c r="L307" i="17" s="1"/>
  <c r="K306" i="17"/>
  <c r="H306" i="17"/>
  <c r="J306" i="17" s="1"/>
  <c r="L306" i="17" s="1"/>
  <c r="K305" i="17"/>
  <c r="H305" i="17"/>
  <c r="J305" i="17" s="1"/>
  <c r="L305" i="17" s="1"/>
  <c r="K304" i="17"/>
  <c r="H304" i="17"/>
  <c r="J304" i="17" s="1"/>
  <c r="L304" i="17" s="1"/>
  <c r="K303" i="17"/>
  <c r="H303" i="17"/>
  <c r="J303" i="17" s="1"/>
  <c r="L303" i="17" s="1"/>
  <c r="K302" i="17"/>
  <c r="H302" i="17"/>
  <c r="J302" i="17" s="1"/>
  <c r="L302" i="17" s="1"/>
  <c r="K301" i="17"/>
  <c r="H301" i="17"/>
  <c r="J301" i="17" s="1"/>
  <c r="L301" i="17" s="1"/>
  <c r="K300" i="17"/>
  <c r="H300" i="17"/>
  <c r="J300" i="17" s="1"/>
  <c r="L300" i="17" s="1"/>
  <c r="K299" i="17"/>
  <c r="H299" i="17"/>
  <c r="J299" i="17" s="1"/>
  <c r="L299" i="17" s="1"/>
  <c r="K298" i="17"/>
  <c r="H298" i="17"/>
  <c r="J298" i="17" s="1"/>
  <c r="L298" i="17" s="1"/>
  <c r="K297" i="17"/>
  <c r="H297" i="17"/>
  <c r="J297" i="17" s="1"/>
  <c r="L297" i="17" s="1"/>
  <c r="K296" i="17"/>
  <c r="H296" i="17"/>
  <c r="J296" i="17" s="1"/>
  <c r="L296" i="17" s="1"/>
  <c r="K295" i="17"/>
  <c r="H295" i="17"/>
  <c r="J295" i="17" s="1"/>
  <c r="L295" i="17" s="1"/>
  <c r="K294" i="17"/>
  <c r="H294" i="17"/>
  <c r="J294" i="17" s="1"/>
  <c r="L294" i="17" s="1"/>
  <c r="K293" i="17"/>
  <c r="H293" i="17"/>
  <c r="J293" i="17" s="1"/>
  <c r="L293" i="17" s="1"/>
  <c r="K292" i="17"/>
  <c r="H292" i="17"/>
  <c r="J292" i="17" s="1"/>
  <c r="L292" i="17" s="1"/>
  <c r="K291" i="17"/>
  <c r="H291" i="17"/>
  <c r="J291" i="17" s="1"/>
  <c r="L291" i="17" s="1"/>
  <c r="K290" i="17"/>
  <c r="H290" i="17"/>
  <c r="J290" i="17" s="1"/>
  <c r="L290" i="17" s="1"/>
  <c r="K289" i="17"/>
  <c r="H289" i="17"/>
  <c r="J289" i="17" s="1"/>
  <c r="L289" i="17" s="1"/>
  <c r="K288" i="17"/>
  <c r="H288" i="17"/>
  <c r="J288" i="17" s="1"/>
  <c r="L288" i="17" s="1"/>
  <c r="K287" i="17"/>
  <c r="H287" i="17"/>
  <c r="J287" i="17" s="1"/>
  <c r="L287" i="17" s="1"/>
  <c r="K286" i="17"/>
  <c r="H286" i="17"/>
  <c r="J286" i="17" s="1"/>
  <c r="L286" i="17" s="1"/>
  <c r="K285" i="17"/>
  <c r="H285" i="17"/>
  <c r="J285" i="17" s="1"/>
  <c r="L285" i="17" s="1"/>
  <c r="K284" i="17"/>
  <c r="H284" i="17"/>
  <c r="J284" i="17" s="1"/>
  <c r="L284" i="17" s="1"/>
  <c r="K283" i="17"/>
  <c r="H283" i="17"/>
  <c r="J283" i="17" s="1"/>
  <c r="L283" i="17" s="1"/>
  <c r="K282" i="17"/>
  <c r="H282" i="17"/>
  <c r="J282" i="17" s="1"/>
  <c r="L282" i="17" s="1"/>
  <c r="K281" i="17"/>
  <c r="H281" i="17"/>
  <c r="J281" i="17" s="1"/>
  <c r="L281" i="17" s="1"/>
  <c r="K280" i="17"/>
  <c r="H280" i="17"/>
  <c r="J280" i="17" s="1"/>
  <c r="L280" i="17" s="1"/>
  <c r="K279" i="17"/>
  <c r="H279" i="17"/>
  <c r="J279" i="17" s="1"/>
  <c r="L279" i="17" s="1"/>
  <c r="K278" i="17"/>
  <c r="H278" i="17"/>
  <c r="J278" i="17" s="1"/>
  <c r="L278" i="17" s="1"/>
  <c r="K277" i="17"/>
  <c r="H277" i="17"/>
  <c r="J277" i="17" s="1"/>
  <c r="L277" i="17" s="1"/>
  <c r="K276" i="17"/>
  <c r="H276" i="17"/>
  <c r="J276" i="17" s="1"/>
  <c r="L276" i="17" s="1"/>
  <c r="K275" i="17"/>
  <c r="H275" i="17"/>
  <c r="J275" i="17" s="1"/>
  <c r="L275" i="17" s="1"/>
  <c r="K274" i="17"/>
  <c r="H274" i="17"/>
  <c r="J274" i="17" s="1"/>
  <c r="L274" i="17" s="1"/>
  <c r="K273" i="17"/>
  <c r="H273" i="17"/>
  <c r="J273" i="17" s="1"/>
  <c r="L273" i="17" s="1"/>
  <c r="K272" i="17"/>
  <c r="H272" i="17"/>
  <c r="J272" i="17" s="1"/>
  <c r="L272" i="17" s="1"/>
  <c r="K271" i="17"/>
  <c r="H271" i="17"/>
  <c r="J271" i="17" s="1"/>
  <c r="L271" i="17" s="1"/>
  <c r="K270" i="17"/>
  <c r="H270" i="17"/>
  <c r="J270" i="17" s="1"/>
  <c r="L270" i="17" s="1"/>
  <c r="K269" i="17"/>
  <c r="H269" i="17"/>
  <c r="J269" i="17" s="1"/>
  <c r="L269" i="17" s="1"/>
  <c r="K268" i="17"/>
  <c r="H268" i="17"/>
  <c r="J268" i="17" s="1"/>
  <c r="L268" i="17" s="1"/>
  <c r="K267" i="17"/>
  <c r="H267" i="17"/>
  <c r="J267" i="17" s="1"/>
  <c r="L267" i="17" s="1"/>
  <c r="K266" i="17"/>
  <c r="H266" i="17"/>
  <c r="J266" i="17" s="1"/>
  <c r="L266" i="17" s="1"/>
  <c r="K265" i="17"/>
  <c r="H265" i="17"/>
  <c r="J265" i="17" s="1"/>
  <c r="L265" i="17" s="1"/>
  <c r="K264" i="17"/>
  <c r="H264" i="17"/>
  <c r="J264" i="17" s="1"/>
  <c r="L264" i="17" s="1"/>
  <c r="K263" i="17"/>
  <c r="H263" i="17"/>
  <c r="J263" i="17" s="1"/>
  <c r="L263" i="17" s="1"/>
  <c r="K262" i="17"/>
  <c r="H262" i="17"/>
  <c r="J262" i="17" s="1"/>
  <c r="L262" i="17" s="1"/>
  <c r="K261" i="17"/>
  <c r="H261" i="17"/>
  <c r="J261" i="17" s="1"/>
  <c r="L261" i="17" s="1"/>
  <c r="K260" i="17"/>
  <c r="H260" i="17"/>
  <c r="J260" i="17" s="1"/>
  <c r="L260" i="17" s="1"/>
  <c r="K259" i="17"/>
  <c r="H259" i="17"/>
  <c r="J259" i="17" s="1"/>
  <c r="L259" i="17" s="1"/>
  <c r="K258" i="17"/>
  <c r="H258" i="17"/>
  <c r="J258" i="17" s="1"/>
  <c r="L258" i="17" s="1"/>
  <c r="K257" i="17"/>
  <c r="H257" i="17"/>
  <c r="J257" i="17" s="1"/>
  <c r="L257" i="17" s="1"/>
  <c r="K256" i="17"/>
  <c r="H256" i="17"/>
  <c r="J256" i="17" s="1"/>
  <c r="L256" i="17" s="1"/>
  <c r="K255" i="17"/>
  <c r="H255" i="17"/>
  <c r="J255" i="17" s="1"/>
  <c r="L255" i="17" s="1"/>
  <c r="K254" i="17"/>
  <c r="H254" i="17"/>
  <c r="J254" i="17" s="1"/>
  <c r="L254" i="17" s="1"/>
  <c r="K253" i="17"/>
  <c r="H253" i="17"/>
  <c r="J253" i="17" s="1"/>
  <c r="L253" i="17" s="1"/>
  <c r="K252" i="17"/>
  <c r="H252" i="17"/>
  <c r="J252" i="17" s="1"/>
  <c r="L252" i="17" s="1"/>
  <c r="K251" i="17"/>
  <c r="H251" i="17"/>
  <c r="J251" i="17" s="1"/>
  <c r="L251" i="17" s="1"/>
  <c r="K250" i="17"/>
  <c r="H250" i="17"/>
  <c r="J250" i="17" s="1"/>
  <c r="L250" i="17" s="1"/>
  <c r="K249" i="17"/>
  <c r="H249" i="17"/>
  <c r="J249" i="17" s="1"/>
  <c r="L249" i="17" s="1"/>
  <c r="K248" i="17"/>
  <c r="H248" i="17"/>
  <c r="J248" i="17" s="1"/>
  <c r="L248" i="17" s="1"/>
  <c r="K247" i="17"/>
  <c r="H247" i="17"/>
  <c r="J247" i="17" s="1"/>
  <c r="L247" i="17" s="1"/>
  <c r="K246" i="17"/>
  <c r="H246" i="17"/>
  <c r="J246" i="17" s="1"/>
  <c r="L246" i="17" s="1"/>
  <c r="K245" i="17"/>
  <c r="H245" i="17"/>
  <c r="J245" i="17" s="1"/>
  <c r="L245" i="17" s="1"/>
  <c r="K244" i="17"/>
  <c r="H244" i="17"/>
  <c r="J244" i="17" s="1"/>
  <c r="L244" i="17" s="1"/>
  <c r="K243" i="17"/>
  <c r="H243" i="17"/>
  <c r="J243" i="17" s="1"/>
  <c r="L243" i="17" s="1"/>
  <c r="K242" i="17"/>
  <c r="H242" i="17"/>
  <c r="J242" i="17" s="1"/>
  <c r="L242" i="17" s="1"/>
  <c r="K241" i="17"/>
  <c r="H241" i="17"/>
  <c r="J241" i="17" s="1"/>
  <c r="L241" i="17" s="1"/>
  <c r="K240" i="17"/>
  <c r="H240" i="17"/>
  <c r="J240" i="17" s="1"/>
  <c r="L240" i="17" s="1"/>
  <c r="K239" i="17"/>
  <c r="H239" i="17"/>
  <c r="J239" i="17" s="1"/>
  <c r="L239" i="17" s="1"/>
  <c r="K238" i="17"/>
  <c r="H238" i="17"/>
  <c r="J238" i="17" s="1"/>
  <c r="L238" i="17" s="1"/>
  <c r="K237" i="17"/>
  <c r="H237" i="17"/>
  <c r="J237" i="17" s="1"/>
  <c r="L237" i="17" s="1"/>
  <c r="K236" i="17"/>
  <c r="H236" i="17"/>
  <c r="J236" i="17" s="1"/>
  <c r="L236" i="17" s="1"/>
  <c r="K235" i="17"/>
  <c r="H235" i="17"/>
  <c r="J235" i="17" s="1"/>
  <c r="L235" i="17" s="1"/>
  <c r="K234" i="17"/>
  <c r="H234" i="17"/>
  <c r="J234" i="17" s="1"/>
  <c r="L234" i="17" s="1"/>
  <c r="K233" i="17"/>
  <c r="H233" i="17"/>
  <c r="J233" i="17" s="1"/>
  <c r="L233" i="17" s="1"/>
  <c r="K232" i="17"/>
  <c r="H232" i="17"/>
  <c r="J232" i="17" s="1"/>
  <c r="L232" i="17" s="1"/>
  <c r="K231" i="17"/>
  <c r="H231" i="17"/>
  <c r="J231" i="17" s="1"/>
  <c r="L231" i="17" s="1"/>
  <c r="K230" i="17"/>
  <c r="H230" i="17"/>
  <c r="J230" i="17" s="1"/>
  <c r="L230" i="17" s="1"/>
  <c r="K229" i="17"/>
  <c r="H229" i="17"/>
  <c r="J229" i="17" s="1"/>
  <c r="L229" i="17" s="1"/>
  <c r="K228" i="17"/>
  <c r="H228" i="17"/>
  <c r="J228" i="17" s="1"/>
  <c r="L228" i="17" s="1"/>
  <c r="K227" i="17"/>
  <c r="H227" i="17"/>
  <c r="J227" i="17" s="1"/>
  <c r="L227" i="17" s="1"/>
  <c r="K226" i="17"/>
  <c r="H226" i="17"/>
  <c r="J226" i="17" s="1"/>
  <c r="L226" i="17" s="1"/>
  <c r="K225" i="17"/>
  <c r="H225" i="17"/>
  <c r="J225" i="17" s="1"/>
  <c r="L225" i="17" s="1"/>
  <c r="K224" i="17"/>
  <c r="H224" i="17"/>
  <c r="J224" i="17" s="1"/>
  <c r="L224" i="17" s="1"/>
  <c r="K223" i="17"/>
  <c r="H223" i="17"/>
  <c r="J223" i="17" s="1"/>
  <c r="L223" i="17" s="1"/>
  <c r="K222" i="17"/>
  <c r="H222" i="17"/>
  <c r="J222" i="17" s="1"/>
  <c r="L222" i="17" s="1"/>
  <c r="K221" i="17"/>
  <c r="H221" i="17"/>
  <c r="J221" i="17" s="1"/>
  <c r="L221" i="17" s="1"/>
  <c r="K220" i="17"/>
  <c r="H220" i="17"/>
  <c r="J220" i="17" s="1"/>
  <c r="L220" i="17" s="1"/>
  <c r="K219" i="17"/>
  <c r="H219" i="17"/>
  <c r="J219" i="17" s="1"/>
  <c r="L219" i="17" s="1"/>
  <c r="K218" i="17"/>
  <c r="H218" i="17"/>
  <c r="J218" i="17" s="1"/>
  <c r="L218" i="17" s="1"/>
  <c r="K217" i="17"/>
  <c r="H217" i="17"/>
  <c r="J217" i="17" s="1"/>
  <c r="L217" i="17" s="1"/>
  <c r="K216" i="17"/>
  <c r="H216" i="17"/>
  <c r="J216" i="17" s="1"/>
  <c r="L216" i="17" s="1"/>
  <c r="K215" i="17"/>
  <c r="H215" i="17"/>
  <c r="J215" i="17" s="1"/>
  <c r="L215" i="17" s="1"/>
  <c r="K214" i="17"/>
  <c r="H214" i="17"/>
  <c r="J214" i="17" s="1"/>
  <c r="L214" i="17" s="1"/>
  <c r="K213" i="17"/>
  <c r="H213" i="17"/>
  <c r="J213" i="17" s="1"/>
  <c r="L213" i="17" s="1"/>
  <c r="K212" i="17"/>
  <c r="H212" i="17"/>
  <c r="J212" i="17" s="1"/>
  <c r="L212" i="17" s="1"/>
  <c r="K211" i="17"/>
  <c r="H211" i="17"/>
  <c r="J211" i="17" s="1"/>
  <c r="L211" i="17" s="1"/>
  <c r="K210" i="17"/>
  <c r="H210" i="17"/>
  <c r="J210" i="17" s="1"/>
  <c r="L210" i="17" s="1"/>
  <c r="K209" i="17"/>
  <c r="H209" i="17"/>
  <c r="J209" i="17" s="1"/>
  <c r="L209" i="17" s="1"/>
  <c r="K208" i="17"/>
  <c r="H208" i="17"/>
  <c r="J208" i="17" s="1"/>
  <c r="L208" i="17" s="1"/>
  <c r="K207" i="17"/>
  <c r="H207" i="17"/>
  <c r="J207" i="17" s="1"/>
  <c r="L207" i="17" s="1"/>
  <c r="K206" i="17"/>
  <c r="H206" i="17"/>
  <c r="J206" i="17" s="1"/>
  <c r="L206" i="17" s="1"/>
  <c r="K205" i="17"/>
  <c r="H205" i="17"/>
  <c r="J205" i="17" s="1"/>
  <c r="L205" i="17" s="1"/>
  <c r="K204" i="17"/>
  <c r="H204" i="17"/>
  <c r="J204" i="17" s="1"/>
  <c r="L204" i="17" s="1"/>
  <c r="K203" i="17"/>
  <c r="H203" i="17"/>
  <c r="J203" i="17" s="1"/>
  <c r="L203" i="17" s="1"/>
  <c r="K202" i="17"/>
  <c r="H202" i="17"/>
  <c r="J202" i="17" s="1"/>
  <c r="L202" i="17" s="1"/>
  <c r="K201" i="17"/>
  <c r="H201" i="17"/>
  <c r="J201" i="17" s="1"/>
  <c r="L201" i="17" s="1"/>
  <c r="K200" i="17"/>
  <c r="H200" i="17"/>
  <c r="J200" i="17" s="1"/>
  <c r="L200" i="17" s="1"/>
  <c r="K199" i="17"/>
  <c r="H199" i="17"/>
  <c r="J199" i="17" s="1"/>
  <c r="L199" i="17" s="1"/>
  <c r="K198" i="17"/>
  <c r="H198" i="17"/>
  <c r="J198" i="17" s="1"/>
  <c r="L198" i="17" s="1"/>
  <c r="K197" i="17"/>
  <c r="H197" i="17"/>
  <c r="J197" i="17" s="1"/>
  <c r="L197" i="17" s="1"/>
  <c r="K196" i="17"/>
  <c r="H196" i="17"/>
  <c r="J196" i="17" s="1"/>
  <c r="L196" i="17" s="1"/>
  <c r="K195" i="17"/>
  <c r="H195" i="17"/>
  <c r="J195" i="17" s="1"/>
  <c r="L195" i="17" s="1"/>
  <c r="K194" i="17"/>
  <c r="H194" i="17"/>
  <c r="J194" i="17" s="1"/>
  <c r="L194" i="17" s="1"/>
  <c r="K193" i="17"/>
  <c r="H193" i="17"/>
  <c r="J193" i="17" s="1"/>
  <c r="L193" i="17" s="1"/>
  <c r="K192" i="17"/>
  <c r="H192" i="17"/>
  <c r="J192" i="17" s="1"/>
  <c r="L192" i="17" s="1"/>
  <c r="K191" i="17"/>
  <c r="H191" i="17"/>
  <c r="J191" i="17" s="1"/>
  <c r="L191" i="17" s="1"/>
  <c r="K190" i="17"/>
  <c r="H190" i="17"/>
  <c r="J190" i="17" s="1"/>
  <c r="L190" i="17" s="1"/>
  <c r="K189" i="17"/>
  <c r="H189" i="17"/>
  <c r="J189" i="17" s="1"/>
  <c r="L189" i="17" s="1"/>
  <c r="K188" i="17"/>
  <c r="H188" i="17"/>
  <c r="J188" i="17" s="1"/>
  <c r="L188" i="17" s="1"/>
  <c r="K187" i="17"/>
  <c r="H187" i="17"/>
  <c r="J187" i="17" s="1"/>
  <c r="L187" i="17" s="1"/>
  <c r="K186" i="17"/>
  <c r="H186" i="17"/>
  <c r="J186" i="17" s="1"/>
  <c r="L186" i="17" s="1"/>
  <c r="K185" i="17"/>
  <c r="H185" i="17"/>
  <c r="J185" i="17" s="1"/>
  <c r="L185" i="17" s="1"/>
  <c r="K184" i="17"/>
  <c r="H184" i="17"/>
  <c r="J184" i="17" s="1"/>
  <c r="L184" i="17" s="1"/>
  <c r="K183" i="17"/>
  <c r="H183" i="17"/>
  <c r="J183" i="17" s="1"/>
  <c r="L183" i="17" s="1"/>
  <c r="K182" i="17"/>
  <c r="H182" i="17"/>
  <c r="J182" i="17" s="1"/>
  <c r="L182" i="17" s="1"/>
  <c r="K181" i="17"/>
  <c r="H181" i="17"/>
  <c r="J181" i="17" s="1"/>
  <c r="L181" i="17" s="1"/>
  <c r="K180" i="17"/>
  <c r="H180" i="17"/>
  <c r="J180" i="17" s="1"/>
  <c r="L180" i="17" s="1"/>
  <c r="K179" i="17"/>
  <c r="H179" i="17"/>
  <c r="J179" i="17" s="1"/>
  <c r="L179" i="17" s="1"/>
  <c r="K178" i="17"/>
  <c r="H178" i="17"/>
  <c r="J178" i="17" s="1"/>
  <c r="L178" i="17" s="1"/>
  <c r="K177" i="17"/>
  <c r="H177" i="17"/>
  <c r="J177" i="17" s="1"/>
  <c r="L177" i="17" s="1"/>
  <c r="K176" i="17"/>
  <c r="H176" i="17"/>
  <c r="J176" i="17" s="1"/>
  <c r="L176" i="17" s="1"/>
  <c r="K175" i="17"/>
  <c r="H175" i="17"/>
  <c r="J175" i="17" s="1"/>
  <c r="L175" i="17" s="1"/>
  <c r="K174" i="17"/>
  <c r="H174" i="17"/>
  <c r="J174" i="17" s="1"/>
  <c r="L174" i="17" s="1"/>
  <c r="K173" i="17"/>
  <c r="H173" i="17"/>
  <c r="J173" i="17" s="1"/>
  <c r="L173" i="17" s="1"/>
  <c r="K172" i="17"/>
  <c r="H172" i="17"/>
  <c r="J172" i="17" s="1"/>
  <c r="L172" i="17" s="1"/>
  <c r="K171" i="17"/>
  <c r="H171" i="17"/>
  <c r="J171" i="17" s="1"/>
  <c r="L171" i="17" s="1"/>
  <c r="K170" i="17"/>
  <c r="H170" i="17"/>
  <c r="J170" i="17" s="1"/>
  <c r="L170" i="17" s="1"/>
  <c r="K169" i="17"/>
  <c r="H169" i="17"/>
  <c r="J169" i="17" s="1"/>
  <c r="L169" i="17" s="1"/>
  <c r="K168" i="17"/>
  <c r="H168" i="17"/>
  <c r="J168" i="17" s="1"/>
  <c r="L168" i="17" s="1"/>
  <c r="K167" i="17"/>
  <c r="H167" i="17"/>
  <c r="J167" i="17" s="1"/>
  <c r="L167" i="17" s="1"/>
  <c r="K166" i="17"/>
  <c r="H166" i="17"/>
  <c r="J166" i="17" s="1"/>
  <c r="L166" i="17" s="1"/>
  <c r="K165" i="17"/>
  <c r="H165" i="17"/>
  <c r="J165" i="17" s="1"/>
  <c r="L165" i="17" s="1"/>
  <c r="K164" i="17"/>
  <c r="H164" i="17"/>
  <c r="J164" i="17" s="1"/>
  <c r="L164" i="17" s="1"/>
  <c r="K163" i="17"/>
  <c r="H163" i="17"/>
  <c r="J163" i="17" s="1"/>
  <c r="L163" i="17" s="1"/>
  <c r="K162" i="17"/>
  <c r="H162" i="17"/>
  <c r="J162" i="17" s="1"/>
  <c r="L162" i="17" s="1"/>
  <c r="K161" i="17"/>
  <c r="H161" i="17"/>
  <c r="J161" i="17" s="1"/>
  <c r="L161" i="17" s="1"/>
  <c r="K160" i="17"/>
  <c r="H160" i="17"/>
  <c r="J160" i="17" s="1"/>
  <c r="L160" i="17" s="1"/>
  <c r="K159" i="17"/>
  <c r="H159" i="17"/>
  <c r="J159" i="17" s="1"/>
  <c r="L159" i="17" s="1"/>
  <c r="K158" i="17"/>
  <c r="H158" i="17"/>
  <c r="J158" i="17" s="1"/>
  <c r="L158" i="17" s="1"/>
  <c r="K157" i="17"/>
  <c r="H157" i="17"/>
  <c r="J157" i="17" s="1"/>
  <c r="L157" i="17" s="1"/>
  <c r="K156" i="17"/>
  <c r="H156" i="17"/>
  <c r="J156" i="17" s="1"/>
  <c r="L156" i="17" s="1"/>
  <c r="K155" i="17"/>
  <c r="H155" i="17"/>
  <c r="J155" i="17" s="1"/>
  <c r="L155" i="17" s="1"/>
  <c r="K154" i="17"/>
  <c r="H154" i="17"/>
  <c r="J154" i="17" s="1"/>
  <c r="L154" i="17" s="1"/>
  <c r="K153" i="17"/>
  <c r="H153" i="17"/>
  <c r="J153" i="17" s="1"/>
  <c r="L153" i="17" s="1"/>
  <c r="K152" i="17"/>
  <c r="H152" i="17"/>
  <c r="J152" i="17" s="1"/>
  <c r="L152" i="17" s="1"/>
  <c r="K151" i="17"/>
  <c r="H151" i="17"/>
  <c r="J151" i="17" s="1"/>
  <c r="L151" i="17" s="1"/>
  <c r="K150" i="17"/>
  <c r="H150" i="17"/>
  <c r="J150" i="17" s="1"/>
  <c r="L150" i="17" s="1"/>
  <c r="K149" i="17"/>
  <c r="H149" i="17"/>
  <c r="J149" i="17" s="1"/>
  <c r="L149" i="17" s="1"/>
  <c r="K148" i="17"/>
  <c r="H148" i="17"/>
  <c r="J148" i="17" s="1"/>
  <c r="L148" i="17" s="1"/>
  <c r="K147" i="17"/>
  <c r="H147" i="17"/>
  <c r="J147" i="17" s="1"/>
  <c r="L147" i="17" s="1"/>
  <c r="K146" i="17"/>
  <c r="H146" i="17"/>
  <c r="J146" i="17" s="1"/>
  <c r="L146" i="17" s="1"/>
  <c r="K145" i="17"/>
  <c r="H145" i="17"/>
  <c r="J145" i="17" s="1"/>
  <c r="L145" i="17" s="1"/>
  <c r="K144" i="17"/>
  <c r="H144" i="17"/>
  <c r="J144" i="17" s="1"/>
  <c r="L144" i="17" s="1"/>
  <c r="K143" i="17"/>
  <c r="H143" i="17"/>
  <c r="J143" i="17" s="1"/>
  <c r="L143" i="17" s="1"/>
  <c r="K142" i="17"/>
  <c r="H142" i="17"/>
  <c r="J142" i="17" s="1"/>
  <c r="L142" i="17" s="1"/>
  <c r="K141" i="17"/>
  <c r="H141" i="17"/>
  <c r="J141" i="17" s="1"/>
  <c r="L141" i="17" s="1"/>
  <c r="K140" i="17"/>
  <c r="H140" i="17"/>
  <c r="J140" i="17" s="1"/>
  <c r="L140" i="17" s="1"/>
  <c r="K139" i="17"/>
  <c r="H139" i="17"/>
  <c r="J139" i="17" s="1"/>
  <c r="L139" i="17" s="1"/>
  <c r="K138" i="17"/>
  <c r="H138" i="17"/>
  <c r="J138" i="17" s="1"/>
  <c r="L138" i="17" s="1"/>
  <c r="K137" i="17"/>
  <c r="H137" i="17"/>
  <c r="J137" i="17" s="1"/>
  <c r="L137" i="17" s="1"/>
  <c r="K136" i="17"/>
  <c r="H136" i="17"/>
  <c r="J136" i="17" s="1"/>
  <c r="L136" i="17" s="1"/>
  <c r="K135" i="17"/>
  <c r="H135" i="17"/>
  <c r="J135" i="17" s="1"/>
  <c r="L135" i="17" s="1"/>
  <c r="K134" i="17"/>
  <c r="H134" i="17"/>
  <c r="J134" i="17" s="1"/>
  <c r="L134" i="17" s="1"/>
  <c r="K133" i="17"/>
  <c r="H133" i="17"/>
  <c r="J133" i="17" s="1"/>
  <c r="L133" i="17" s="1"/>
  <c r="K132" i="17"/>
  <c r="H132" i="17"/>
  <c r="J132" i="17" s="1"/>
  <c r="L132" i="17" s="1"/>
  <c r="K131" i="17"/>
  <c r="H131" i="17"/>
  <c r="J131" i="17" s="1"/>
  <c r="L131" i="17" s="1"/>
  <c r="K130" i="17"/>
  <c r="H130" i="17"/>
  <c r="J130" i="17" s="1"/>
  <c r="L130" i="17" s="1"/>
  <c r="K129" i="17"/>
  <c r="H129" i="17"/>
  <c r="J129" i="17" s="1"/>
  <c r="L129" i="17" s="1"/>
  <c r="K128" i="17"/>
  <c r="H128" i="17"/>
  <c r="J128" i="17" s="1"/>
  <c r="L128" i="17" s="1"/>
  <c r="K127" i="17"/>
  <c r="H127" i="17"/>
  <c r="J127" i="17" s="1"/>
  <c r="L127" i="17" s="1"/>
  <c r="K126" i="17"/>
  <c r="H126" i="17"/>
  <c r="J126" i="17" s="1"/>
  <c r="L126" i="17" s="1"/>
  <c r="K125" i="17"/>
  <c r="H125" i="17"/>
  <c r="J125" i="17" s="1"/>
  <c r="L125" i="17" s="1"/>
  <c r="K124" i="17"/>
  <c r="H124" i="17"/>
  <c r="J124" i="17" s="1"/>
  <c r="L124" i="17" s="1"/>
  <c r="K123" i="17"/>
  <c r="H123" i="17"/>
  <c r="J123" i="17" s="1"/>
  <c r="L123" i="17" s="1"/>
  <c r="K122" i="17"/>
  <c r="H122" i="17"/>
  <c r="J122" i="17" s="1"/>
  <c r="L122" i="17" s="1"/>
  <c r="K121" i="17"/>
  <c r="H121" i="17"/>
  <c r="J121" i="17" s="1"/>
  <c r="L121" i="17" s="1"/>
  <c r="K120" i="17"/>
  <c r="H120" i="17"/>
  <c r="J120" i="17" s="1"/>
  <c r="L120" i="17" s="1"/>
  <c r="K119" i="17"/>
  <c r="H119" i="17"/>
  <c r="J119" i="17" s="1"/>
  <c r="L119" i="17" s="1"/>
  <c r="K118" i="17"/>
  <c r="H118" i="17"/>
  <c r="J118" i="17" s="1"/>
  <c r="L118" i="17" s="1"/>
  <c r="K117" i="17"/>
  <c r="H117" i="17"/>
  <c r="J117" i="17" s="1"/>
  <c r="L117" i="17" s="1"/>
  <c r="K116" i="17"/>
  <c r="H116" i="17"/>
  <c r="J116" i="17" s="1"/>
  <c r="L116" i="17" s="1"/>
  <c r="K115" i="17"/>
  <c r="H115" i="17"/>
  <c r="J115" i="17" s="1"/>
  <c r="L115" i="17" s="1"/>
  <c r="K114" i="17"/>
  <c r="H114" i="17"/>
  <c r="J114" i="17" s="1"/>
  <c r="L114" i="17" s="1"/>
  <c r="K113" i="17"/>
  <c r="H113" i="17"/>
  <c r="J113" i="17" s="1"/>
  <c r="L113" i="17" s="1"/>
  <c r="K112" i="17"/>
  <c r="H112" i="17"/>
  <c r="J112" i="17" s="1"/>
  <c r="L112" i="17" s="1"/>
  <c r="K111" i="17"/>
  <c r="H111" i="17"/>
  <c r="J111" i="17" s="1"/>
  <c r="L111" i="17" s="1"/>
  <c r="K110" i="17"/>
  <c r="H110" i="17"/>
  <c r="J110" i="17" s="1"/>
  <c r="L110" i="17" s="1"/>
  <c r="K109" i="17"/>
  <c r="H109" i="17"/>
  <c r="J109" i="17" s="1"/>
  <c r="L109" i="17" s="1"/>
  <c r="K108" i="17"/>
  <c r="H108" i="17"/>
  <c r="J108" i="17" s="1"/>
  <c r="L108" i="17" s="1"/>
  <c r="K107" i="17"/>
  <c r="H107" i="17"/>
  <c r="J107" i="17" s="1"/>
  <c r="L107" i="17" s="1"/>
  <c r="K106" i="17"/>
  <c r="H106" i="17"/>
  <c r="J106" i="17" s="1"/>
  <c r="L106" i="17" s="1"/>
  <c r="K105" i="17"/>
  <c r="H105" i="17"/>
  <c r="J105" i="17" s="1"/>
  <c r="L105" i="17" s="1"/>
  <c r="K104" i="17"/>
  <c r="H104" i="17"/>
  <c r="J104" i="17" s="1"/>
  <c r="L104" i="17" s="1"/>
  <c r="K103" i="17"/>
  <c r="H103" i="17"/>
  <c r="J103" i="17" s="1"/>
  <c r="L103" i="17" s="1"/>
  <c r="K102" i="17"/>
  <c r="H102" i="17"/>
  <c r="J102" i="17" s="1"/>
  <c r="L102" i="17" s="1"/>
  <c r="K101" i="17"/>
  <c r="H101" i="17"/>
  <c r="J101" i="17" s="1"/>
  <c r="L101" i="17" s="1"/>
  <c r="K100" i="17"/>
  <c r="H100" i="17"/>
  <c r="J100" i="17" s="1"/>
  <c r="L100" i="17" s="1"/>
  <c r="K99" i="17"/>
  <c r="H99" i="17"/>
  <c r="J99" i="17" s="1"/>
  <c r="L99" i="17" s="1"/>
  <c r="K98" i="17"/>
  <c r="H98" i="17"/>
  <c r="J98" i="17" s="1"/>
  <c r="L98" i="17" s="1"/>
  <c r="K97" i="17"/>
  <c r="H97" i="17"/>
  <c r="J97" i="17" s="1"/>
  <c r="L97" i="17" s="1"/>
  <c r="K96" i="17"/>
  <c r="H96" i="17"/>
  <c r="J96" i="17" s="1"/>
  <c r="L96" i="17" s="1"/>
  <c r="K95" i="17"/>
  <c r="H95" i="17"/>
  <c r="J95" i="17" s="1"/>
  <c r="L95" i="17" s="1"/>
  <c r="K94" i="17"/>
  <c r="H94" i="17"/>
  <c r="J94" i="17" s="1"/>
  <c r="L94" i="17" s="1"/>
  <c r="K93" i="17"/>
  <c r="H93" i="17"/>
  <c r="J93" i="17" s="1"/>
  <c r="L93" i="17" s="1"/>
  <c r="K92" i="17"/>
  <c r="H92" i="17"/>
  <c r="J92" i="17" s="1"/>
  <c r="L92" i="17" s="1"/>
  <c r="K91" i="17"/>
  <c r="H91" i="17"/>
  <c r="J91" i="17" s="1"/>
  <c r="L91" i="17" s="1"/>
  <c r="K90" i="17"/>
  <c r="H90" i="17"/>
  <c r="J90" i="17" s="1"/>
  <c r="L90" i="17" s="1"/>
  <c r="K89" i="17"/>
  <c r="H89" i="17"/>
  <c r="J89" i="17" s="1"/>
  <c r="L89" i="17" s="1"/>
  <c r="K88" i="17"/>
  <c r="H88" i="17"/>
  <c r="J88" i="17" s="1"/>
  <c r="L88" i="17" s="1"/>
  <c r="K87" i="17"/>
  <c r="H87" i="17"/>
  <c r="J87" i="17" s="1"/>
  <c r="L87" i="17" s="1"/>
  <c r="K86" i="17"/>
  <c r="H86" i="17"/>
  <c r="J86" i="17" s="1"/>
  <c r="L86" i="17" s="1"/>
  <c r="K85" i="17"/>
  <c r="H85" i="17"/>
  <c r="J85" i="17" s="1"/>
  <c r="L85" i="17" s="1"/>
  <c r="K84" i="17"/>
  <c r="H84" i="17"/>
  <c r="J84" i="17" s="1"/>
  <c r="L84" i="17" s="1"/>
  <c r="K83" i="17"/>
  <c r="H83" i="17"/>
  <c r="J83" i="17" s="1"/>
  <c r="L83" i="17" s="1"/>
  <c r="K82" i="17"/>
  <c r="H82" i="17"/>
  <c r="J82" i="17" s="1"/>
  <c r="L82" i="17" s="1"/>
  <c r="K81" i="17"/>
  <c r="H81" i="17"/>
  <c r="J81" i="17" s="1"/>
  <c r="L81" i="17" s="1"/>
  <c r="K80" i="17"/>
  <c r="H80" i="17"/>
  <c r="J80" i="17" s="1"/>
  <c r="L80" i="17" s="1"/>
  <c r="K79" i="17"/>
  <c r="H79" i="17"/>
  <c r="J79" i="17" s="1"/>
  <c r="L79" i="17" s="1"/>
  <c r="K78" i="17"/>
  <c r="H78" i="17"/>
  <c r="J78" i="17" s="1"/>
  <c r="L78" i="17" s="1"/>
  <c r="K77" i="17"/>
  <c r="H77" i="17"/>
  <c r="J77" i="17" s="1"/>
  <c r="L77" i="17" s="1"/>
  <c r="K76" i="17"/>
  <c r="H76" i="17"/>
  <c r="J76" i="17" s="1"/>
  <c r="L76" i="17" s="1"/>
  <c r="K75" i="17"/>
  <c r="H75" i="17"/>
  <c r="J75" i="17" s="1"/>
  <c r="L75" i="17" s="1"/>
  <c r="K74" i="17"/>
  <c r="H74" i="17"/>
  <c r="J74" i="17" s="1"/>
  <c r="L74" i="17" s="1"/>
  <c r="K73" i="17"/>
  <c r="H73" i="17"/>
  <c r="J73" i="17" s="1"/>
  <c r="L73" i="17" s="1"/>
  <c r="K72" i="17"/>
  <c r="H72" i="17"/>
  <c r="J72" i="17" s="1"/>
  <c r="L72" i="17" s="1"/>
  <c r="K71" i="17"/>
  <c r="H71" i="17"/>
  <c r="J71" i="17" s="1"/>
  <c r="L71" i="17" s="1"/>
  <c r="K70" i="17"/>
  <c r="H70" i="17"/>
  <c r="J70" i="17" s="1"/>
  <c r="L70" i="17" s="1"/>
  <c r="K69" i="17"/>
  <c r="H69" i="17"/>
  <c r="J69" i="17" s="1"/>
  <c r="L69" i="17" s="1"/>
  <c r="K68" i="17"/>
  <c r="H68" i="17"/>
  <c r="J68" i="17" s="1"/>
  <c r="L68" i="17" s="1"/>
  <c r="K67" i="17"/>
  <c r="H67" i="17"/>
  <c r="J67" i="17" s="1"/>
  <c r="L67" i="17" s="1"/>
  <c r="K66" i="17"/>
  <c r="H66" i="17"/>
  <c r="J66" i="17" s="1"/>
  <c r="L66" i="17" s="1"/>
  <c r="K65" i="17"/>
  <c r="H65" i="17"/>
  <c r="J65" i="17" s="1"/>
  <c r="L65" i="17" s="1"/>
  <c r="K64" i="17"/>
  <c r="H64" i="17"/>
  <c r="J64" i="17" s="1"/>
  <c r="L64" i="17" s="1"/>
  <c r="K63" i="17"/>
  <c r="H63" i="17"/>
  <c r="J63" i="17" s="1"/>
  <c r="L63" i="17" s="1"/>
  <c r="K62" i="17"/>
  <c r="H62" i="17"/>
  <c r="J62" i="17" s="1"/>
  <c r="L62" i="17" s="1"/>
  <c r="K61" i="17"/>
  <c r="H61" i="17"/>
  <c r="J61" i="17" s="1"/>
  <c r="L61" i="17" s="1"/>
  <c r="K60" i="17"/>
  <c r="H60" i="17"/>
  <c r="J60" i="17" s="1"/>
  <c r="L60" i="17" s="1"/>
  <c r="K59" i="17"/>
  <c r="H59" i="17"/>
  <c r="J59" i="17" s="1"/>
  <c r="L59" i="17" s="1"/>
  <c r="K58" i="17"/>
  <c r="H58" i="17"/>
  <c r="J58" i="17" s="1"/>
  <c r="L58" i="17" s="1"/>
  <c r="K57" i="17"/>
  <c r="H57" i="17"/>
  <c r="J57" i="17" s="1"/>
  <c r="L57" i="17" s="1"/>
  <c r="K56" i="17"/>
  <c r="H56" i="17"/>
  <c r="J56" i="17" s="1"/>
  <c r="L56" i="17" s="1"/>
  <c r="K55" i="17"/>
  <c r="H55" i="17"/>
  <c r="J55" i="17" s="1"/>
  <c r="L55" i="17" s="1"/>
  <c r="K54" i="17"/>
  <c r="H54" i="17"/>
  <c r="J54" i="17" s="1"/>
  <c r="L54" i="17" s="1"/>
  <c r="K53" i="17"/>
  <c r="H53" i="17"/>
  <c r="J53" i="17" s="1"/>
  <c r="L53" i="17" s="1"/>
  <c r="K52" i="17"/>
  <c r="H52" i="17"/>
  <c r="J52" i="17" s="1"/>
  <c r="L52" i="17" s="1"/>
  <c r="K51" i="17"/>
  <c r="H51" i="17"/>
  <c r="J51" i="17" s="1"/>
  <c r="L51" i="17" s="1"/>
  <c r="K50" i="17"/>
  <c r="H50" i="17"/>
  <c r="J50" i="17" s="1"/>
  <c r="L50" i="17" s="1"/>
  <c r="K49" i="17"/>
  <c r="H49" i="17"/>
  <c r="J49" i="17" s="1"/>
  <c r="L49" i="17" s="1"/>
  <c r="K48" i="17"/>
  <c r="H48" i="17"/>
  <c r="J48" i="17" s="1"/>
  <c r="L48" i="17" s="1"/>
  <c r="K47" i="17"/>
  <c r="H47" i="17"/>
  <c r="J47" i="17" s="1"/>
  <c r="L47" i="17" s="1"/>
  <c r="K46" i="17"/>
  <c r="H46" i="17"/>
  <c r="J46" i="17" s="1"/>
  <c r="L46" i="17" s="1"/>
  <c r="K45" i="17"/>
  <c r="H45" i="17"/>
  <c r="J45" i="17" s="1"/>
  <c r="L45" i="17" s="1"/>
  <c r="K44" i="17"/>
  <c r="H44" i="17"/>
  <c r="J44" i="17" s="1"/>
  <c r="L44" i="17" s="1"/>
  <c r="K43" i="17"/>
  <c r="H43" i="17"/>
  <c r="J43" i="17" s="1"/>
  <c r="L43" i="17" s="1"/>
  <c r="K42" i="17"/>
  <c r="H42" i="17"/>
  <c r="J42" i="17" s="1"/>
  <c r="L42" i="17" s="1"/>
  <c r="K41" i="17"/>
  <c r="H41" i="17"/>
  <c r="J41" i="17" s="1"/>
  <c r="L41" i="17" s="1"/>
  <c r="K40" i="17"/>
  <c r="H40" i="17"/>
  <c r="J40" i="17" s="1"/>
  <c r="L40" i="17" s="1"/>
  <c r="K39" i="17"/>
  <c r="H39" i="17"/>
  <c r="J39" i="17" s="1"/>
  <c r="L39" i="17" s="1"/>
  <c r="K38" i="17"/>
  <c r="H38" i="17"/>
  <c r="J38" i="17" s="1"/>
  <c r="L38" i="17" s="1"/>
  <c r="K37" i="17"/>
  <c r="H37" i="17"/>
  <c r="J37" i="17" s="1"/>
  <c r="L37" i="17" s="1"/>
  <c r="K36" i="17"/>
  <c r="H36" i="17"/>
  <c r="J36" i="17" s="1"/>
  <c r="L36" i="17" s="1"/>
  <c r="K35" i="17"/>
  <c r="H35" i="17"/>
  <c r="J35" i="17" s="1"/>
  <c r="L35" i="17" s="1"/>
  <c r="K34" i="17"/>
  <c r="H34" i="17"/>
  <c r="J34" i="17" s="1"/>
  <c r="L34" i="17" s="1"/>
  <c r="K33" i="17"/>
  <c r="H33" i="17"/>
  <c r="J33" i="17" s="1"/>
  <c r="L33" i="17" s="1"/>
  <c r="K32" i="17"/>
  <c r="H32" i="17"/>
  <c r="J32" i="17" s="1"/>
  <c r="L32" i="17" s="1"/>
  <c r="K31" i="17"/>
  <c r="H31" i="17"/>
  <c r="J31" i="17" s="1"/>
  <c r="L31" i="17" s="1"/>
  <c r="K30" i="17"/>
  <c r="H30" i="17"/>
  <c r="J30" i="17" s="1"/>
  <c r="L30" i="17" s="1"/>
  <c r="K29" i="17"/>
  <c r="H29" i="17"/>
  <c r="J29" i="17" s="1"/>
  <c r="L29" i="17" s="1"/>
  <c r="K28" i="17"/>
  <c r="H28" i="17"/>
  <c r="J28" i="17" s="1"/>
  <c r="L28" i="17" s="1"/>
  <c r="K27" i="17"/>
  <c r="H27" i="17"/>
  <c r="J27" i="17" s="1"/>
  <c r="L27" i="17" s="1"/>
  <c r="K26" i="17"/>
  <c r="H26" i="17"/>
  <c r="J26" i="17" s="1"/>
  <c r="L26" i="17" s="1"/>
  <c r="K25" i="17"/>
  <c r="H25" i="17"/>
  <c r="J25" i="17" s="1"/>
  <c r="L25" i="17" s="1"/>
  <c r="K24" i="17"/>
  <c r="H24" i="17"/>
  <c r="J24" i="17" s="1"/>
  <c r="L24" i="17" s="1"/>
  <c r="K23" i="17"/>
  <c r="H23" i="17"/>
  <c r="J23" i="17" s="1"/>
  <c r="L23" i="17" s="1"/>
  <c r="K22" i="17"/>
  <c r="H22" i="17"/>
  <c r="J22" i="17" s="1"/>
  <c r="L22" i="17" s="1"/>
  <c r="K21" i="17"/>
  <c r="H21" i="17"/>
  <c r="J21" i="17" s="1"/>
  <c r="L21" i="17" s="1"/>
  <c r="K20" i="17"/>
  <c r="H20" i="17"/>
  <c r="J20" i="17" s="1"/>
  <c r="L20" i="17" s="1"/>
  <c r="K19" i="17"/>
  <c r="H19" i="17"/>
  <c r="J19" i="17" s="1"/>
  <c r="L19" i="17" s="1"/>
  <c r="K18" i="17"/>
  <c r="H18" i="17"/>
  <c r="J18" i="17" s="1"/>
  <c r="L18" i="17" s="1"/>
  <c r="K17" i="17"/>
  <c r="H17" i="17"/>
  <c r="J17" i="17" s="1"/>
  <c r="L17" i="17" s="1"/>
  <c r="K16" i="17"/>
  <c r="H16" i="17"/>
  <c r="J16" i="17" s="1"/>
  <c r="L16" i="17" s="1"/>
  <c r="K15" i="17"/>
  <c r="H15" i="17"/>
  <c r="J15" i="17" s="1"/>
  <c r="L15" i="17" s="1"/>
  <c r="K14" i="17"/>
  <c r="H14" i="17"/>
  <c r="J14" i="17" s="1"/>
  <c r="L14" i="17" s="1"/>
  <c r="K13" i="17"/>
  <c r="H13" i="17"/>
  <c r="J13" i="17" s="1"/>
  <c r="L13" i="17" s="1"/>
  <c r="AE513" i="15" l="1"/>
  <c r="AF513" i="15" s="1"/>
  <c r="Z513" i="15"/>
  <c r="AA513" i="15" s="1"/>
  <c r="U513" i="15"/>
  <c r="T513" i="15"/>
  <c r="V513" i="15" s="1"/>
  <c r="L513" i="15"/>
  <c r="AE512" i="15"/>
  <c r="AF512" i="15" s="1"/>
  <c r="Z512" i="15"/>
  <c r="AA512" i="15" s="1"/>
  <c r="U512" i="15"/>
  <c r="T512" i="15"/>
  <c r="V512" i="15" s="1"/>
  <c r="L512" i="15"/>
  <c r="AE511" i="15"/>
  <c r="AF511" i="15" s="1"/>
  <c r="Z511" i="15"/>
  <c r="AA511" i="15" s="1"/>
  <c r="U511" i="15"/>
  <c r="T511" i="15"/>
  <c r="V511" i="15" s="1"/>
  <c r="L511" i="15"/>
  <c r="AE510" i="15"/>
  <c r="AF510" i="15" s="1"/>
  <c r="Z510" i="15"/>
  <c r="AA510" i="15" s="1"/>
  <c r="U510" i="15"/>
  <c r="T510" i="15"/>
  <c r="V510" i="15" s="1"/>
  <c r="L510" i="15"/>
  <c r="AE509" i="15"/>
  <c r="AF509" i="15" s="1"/>
  <c r="Z509" i="15"/>
  <c r="AA509" i="15" s="1"/>
  <c r="U509" i="15"/>
  <c r="T509" i="15"/>
  <c r="V509" i="15" s="1"/>
  <c r="L509" i="15"/>
  <c r="AE508" i="15"/>
  <c r="AF508" i="15" s="1"/>
  <c r="Z508" i="15"/>
  <c r="AA508" i="15" s="1"/>
  <c r="U508" i="15"/>
  <c r="T508" i="15"/>
  <c r="V508" i="15" s="1"/>
  <c r="L508" i="15"/>
  <c r="AE507" i="15"/>
  <c r="AF507" i="15" s="1"/>
  <c r="Z507" i="15"/>
  <c r="AA507" i="15" s="1"/>
  <c r="U507" i="15"/>
  <c r="T507" i="15"/>
  <c r="V507" i="15" s="1"/>
  <c r="L507" i="15"/>
  <c r="AE506" i="15"/>
  <c r="AF506" i="15" s="1"/>
  <c r="Z506" i="15"/>
  <c r="AA506" i="15" s="1"/>
  <c r="U506" i="15"/>
  <c r="T506" i="15"/>
  <c r="V506" i="15" s="1"/>
  <c r="L506" i="15"/>
  <c r="AE505" i="15"/>
  <c r="AF505" i="15" s="1"/>
  <c r="Z505" i="15"/>
  <c r="AA505" i="15" s="1"/>
  <c r="U505" i="15"/>
  <c r="T505" i="15"/>
  <c r="V505" i="15" s="1"/>
  <c r="L505" i="15"/>
  <c r="AE504" i="15"/>
  <c r="AF504" i="15" s="1"/>
  <c r="Z504" i="15"/>
  <c r="AA504" i="15" s="1"/>
  <c r="U504" i="15"/>
  <c r="T504" i="15"/>
  <c r="V504" i="15" s="1"/>
  <c r="L504" i="15"/>
  <c r="AE503" i="15"/>
  <c r="AF503" i="15" s="1"/>
  <c r="Z503" i="15"/>
  <c r="AA503" i="15" s="1"/>
  <c r="U503" i="15"/>
  <c r="T503" i="15"/>
  <c r="V503" i="15" s="1"/>
  <c r="L503" i="15"/>
  <c r="AE502" i="15"/>
  <c r="AF502" i="15" s="1"/>
  <c r="Z502" i="15"/>
  <c r="AA502" i="15" s="1"/>
  <c r="U502" i="15"/>
  <c r="T502" i="15"/>
  <c r="V502" i="15" s="1"/>
  <c r="L502" i="15"/>
  <c r="AE501" i="15"/>
  <c r="AF501" i="15" s="1"/>
  <c r="Z501" i="15"/>
  <c r="AA501" i="15" s="1"/>
  <c r="U501" i="15"/>
  <c r="T501" i="15"/>
  <c r="V501" i="15" s="1"/>
  <c r="L501" i="15"/>
  <c r="AE500" i="15"/>
  <c r="AF500" i="15" s="1"/>
  <c r="Z500" i="15"/>
  <c r="AA500" i="15" s="1"/>
  <c r="U500" i="15"/>
  <c r="T500" i="15"/>
  <c r="V500" i="15" s="1"/>
  <c r="L500" i="15"/>
  <c r="AE499" i="15"/>
  <c r="AF499" i="15" s="1"/>
  <c r="Z499" i="15"/>
  <c r="AA499" i="15" s="1"/>
  <c r="U499" i="15"/>
  <c r="T499" i="15"/>
  <c r="V499" i="15" s="1"/>
  <c r="L499" i="15"/>
  <c r="AE498" i="15"/>
  <c r="AF498" i="15" s="1"/>
  <c r="Z498" i="15"/>
  <c r="AA498" i="15" s="1"/>
  <c r="U498" i="15"/>
  <c r="T498" i="15"/>
  <c r="V498" i="15" s="1"/>
  <c r="L498" i="15"/>
  <c r="AE497" i="15"/>
  <c r="AF497" i="15" s="1"/>
  <c r="Z497" i="15"/>
  <c r="AA497" i="15" s="1"/>
  <c r="U497" i="15"/>
  <c r="T497" i="15"/>
  <c r="V497" i="15" s="1"/>
  <c r="L497" i="15"/>
  <c r="AE496" i="15"/>
  <c r="AF496" i="15" s="1"/>
  <c r="Z496" i="15"/>
  <c r="AA496" i="15" s="1"/>
  <c r="U496" i="15"/>
  <c r="T496" i="15"/>
  <c r="V496" i="15" s="1"/>
  <c r="L496" i="15"/>
  <c r="AE495" i="15"/>
  <c r="AF495" i="15" s="1"/>
  <c r="Z495" i="15"/>
  <c r="AA495" i="15" s="1"/>
  <c r="U495" i="15"/>
  <c r="T495" i="15"/>
  <c r="V495" i="15" s="1"/>
  <c r="L495" i="15"/>
  <c r="AE494" i="15"/>
  <c r="AF494" i="15" s="1"/>
  <c r="Z494" i="15"/>
  <c r="AA494" i="15" s="1"/>
  <c r="U494" i="15"/>
  <c r="T494" i="15"/>
  <c r="V494" i="15" s="1"/>
  <c r="L494" i="15"/>
  <c r="AE493" i="15"/>
  <c r="AF493" i="15" s="1"/>
  <c r="Z493" i="15"/>
  <c r="AA493" i="15" s="1"/>
  <c r="U493" i="15"/>
  <c r="T493" i="15"/>
  <c r="V493" i="15" s="1"/>
  <c r="L493" i="15"/>
  <c r="AE492" i="15"/>
  <c r="AF492" i="15" s="1"/>
  <c r="Z492" i="15"/>
  <c r="AA492" i="15" s="1"/>
  <c r="U492" i="15"/>
  <c r="T492" i="15"/>
  <c r="V492" i="15" s="1"/>
  <c r="L492" i="15"/>
  <c r="AE491" i="15"/>
  <c r="AF491" i="15" s="1"/>
  <c r="Z491" i="15"/>
  <c r="AA491" i="15" s="1"/>
  <c r="U491" i="15"/>
  <c r="T491" i="15"/>
  <c r="V491" i="15" s="1"/>
  <c r="L491" i="15"/>
  <c r="AE490" i="15"/>
  <c r="AF490" i="15" s="1"/>
  <c r="Z490" i="15"/>
  <c r="AA490" i="15" s="1"/>
  <c r="U490" i="15"/>
  <c r="T490" i="15"/>
  <c r="V490" i="15" s="1"/>
  <c r="L490" i="15"/>
  <c r="AE489" i="15"/>
  <c r="AF489" i="15" s="1"/>
  <c r="Z489" i="15"/>
  <c r="AA489" i="15" s="1"/>
  <c r="U489" i="15"/>
  <c r="T489" i="15"/>
  <c r="V489" i="15" s="1"/>
  <c r="L489" i="15"/>
  <c r="AE488" i="15"/>
  <c r="AF488" i="15" s="1"/>
  <c r="Z488" i="15"/>
  <c r="AA488" i="15" s="1"/>
  <c r="U488" i="15"/>
  <c r="T488" i="15"/>
  <c r="V488" i="15" s="1"/>
  <c r="L488" i="15"/>
  <c r="AE487" i="15"/>
  <c r="AF487" i="15" s="1"/>
  <c r="Z487" i="15"/>
  <c r="AA487" i="15" s="1"/>
  <c r="U487" i="15"/>
  <c r="T487" i="15"/>
  <c r="V487" i="15" s="1"/>
  <c r="L487" i="15"/>
  <c r="AE486" i="15"/>
  <c r="AF486" i="15" s="1"/>
  <c r="Z486" i="15"/>
  <c r="AA486" i="15" s="1"/>
  <c r="U486" i="15"/>
  <c r="T486" i="15"/>
  <c r="V486" i="15" s="1"/>
  <c r="L486" i="15"/>
  <c r="AE485" i="15"/>
  <c r="AF485" i="15" s="1"/>
  <c r="Z485" i="15"/>
  <c r="AA485" i="15" s="1"/>
  <c r="U485" i="15"/>
  <c r="T485" i="15"/>
  <c r="V485" i="15" s="1"/>
  <c r="L485" i="15"/>
  <c r="AE484" i="15"/>
  <c r="AF484" i="15" s="1"/>
  <c r="Z484" i="15"/>
  <c r="AA484" i="15" s="1"/>
  <c r="U484" i="15"/>
  <c r="T484" i="15"/>
  <c r="V484" i="15" s="1"/>
  <c r="L484" i="15"/>
  <c r="AE483" i="15"/>
  <c r="AF483" i="15" s="1"/>
  <c r="Z483" i="15"/>
  <c r="AA483" i="15" s="1"/>
  <c r="U483" i="15"/>
  <c r="T483" i="15"/>
  <c r="V483" i="15" s="1"/>
  <c r="L483" i="15"/>
  <c r="AE482" i="15"/>
  <c r="AF482" i="15" s="1"/>
  <c r="Z482" i="15"/>
  <c r="AA482" i="15" s="1"/>
  <c r="U482" i="15"/>
  <c r="T482" i="15"/>
  <c r="V482" i="15" s="1"/>
  <c r="L482" i="15"/>
  <c r="AE481" i="15"/>
  <c r="AF481" i="15" s="1"/>
  <c r="Z481" i="15"/>
  <c r="AA481" i="15" s="1"/>
  <c r="U481" i="15"/>
  <c r="T481" i="15"/>
  <c r="V481" i="15" s="1"/>
  <c r="L481" i="15"/>
  <c r="AE480" i="15"/>
  <c r="AF480" i="15" s="1"/>
  <c r="Z480" i="15"/>
  <c r="AA480" i="15" s="1"/>
  <c r="U480" i="15"/>
  <c r="T480" i="15"/>
  <c r="V480" i="15" s="1"/>
  <c r="L480" i="15"/>
  <c r="AE479" i="15"/>
  <c r="AF479" i="15" s="1"/>
  <c r="Z479" i="15"/>
  <c r="AA479" i="15" s="1"/>
  <c r="U479" i="15"/>
  <c r="T479" i="15"/>
  <c r="V479" i="15" s="1"/>
  <c r="L479" i="15"/>
  <c r="AE478" i="15"/>
  <c r="AF478" i="15" s="1"/>
  <c r="Z478" i="15"/>
  <c r="AA478" i="15" s="1"/>
  <c r="U478" i="15"/>
  <c r="T478" i="15"/>
  <c r="V478" i="15" s="1"/>
  <c r="L478" i="15"/>
  <c r="AE477" i="15"/>
  <c r="AF477" i="15" s="1"/>
  <c r="Z477" i="15"/>
  <c r="AA477" i="15" s="1"/>
  <c r="U477" i="15"/>
  <c r="T477" i="15"/>
  <c r="V477" i="15" s="1"/>
  <c r="L477" i="15"/>
  <c r="AE476" i="15"/>
  <c r="AF476" i="15" s="1"/>
  <c r="Z476" i="15"/>
  <c r="AA476" i="15" s="1"/>
  <c r="U476" i="15"/>
  <c r="T476" i="15"/>
  <c r="V476" i="15" s="1"/>
  <c r="L476" i="15"/>
  <c r="AE475" i="15"/>
  <c r="AF475" i="15" s="1"/>
  <c r="Z475" i="15"/>
  <c r="AA475" i="15" s="1"/>
  <c r="U475" i="15"/>
  <c r="T475" i="15"/>
  <c r="V475" i="15" s="1"/>
  <c r="L475" i="15"/>
  <c r="AE474" i="15"/>
  <c r="AF474" i="15" s="1"/>
  <c r="Z474" i="15"/>
  <c r="AA474" i="15" s="1"/>
  <c r="U474" i="15"/>
  <c r="T474" i="15"/>
  <c r="V474" i="15" s="1"/>
  <c r="L474" i="15"/>
  <c r="AE473" i="15"/>
  <c r="AF473" i="15" s="1"/>
  <c r="Z473" i="15"/>
  <c r="AA473" i="15" s="1"/>
  <c r="U473" i="15"/>
  <c r="T473" i="15"/>
  <c r="V473" i="15" s="1"/>
  <c r="L473" i="15"/>
  <c r="AE472" i="15"/>
  <c r="AF472" i="15" s="1"/>
  <c r="Z472" i="15"/>
  <c r="AA472" i="15" s="1"/>
  <c r="U472" i="15"/>
  <c r="T472" i="15"/>
  <c r="V472" i="15" s="1"/>
  <c r="L472" i="15"/>
  <c r="AE471" i="15"/>
  <c r="AF471" i="15" s="1"/>
  <c r="Z471" i="15"/>
  <c r="AA471" i="15" s="1"/>
  <c r="U471" i="15"/>
  <c r="T471" i="15"/>
  <c r="V471" i="15" s="1"/>
  <c r="L471" i="15"/>
  <c r="AE470" i="15"/>
  <c r="AF470" i="15" s="1"/>
  <c r="Z470" i="15"/>
  <c r="AA470" i="15" s="1"/>
  <c r="U470" i="15"/>
  <c r="T470" i="15"/>
  <c r="V470" i="15" s="1"/>
  <c r="L470" i="15"/>
  <c r="AE469" i="15"/>
  <c r="AF469" i="15" s="1"/>
  <c r="Z469" i="15"/>
  <c r="AA469" i="15" s="1"/>
  <c r="U469" i="15"/>
  <c r="T469" i="15"/>
  <c r="V469" i="15" s="1"/>
  <c r="L469" i="15"/>
  <c r="AE468" i="15"/>
  <c r="AF468" i="15" s="1"/>
  <c r="Z468" i="15"/>
  <c r="AA468" i="15" s="1"/>
  <c r="U468" i="15"/>
  <c r="T468" i="15"/>
  <c r="V468" i="15" s="1"/>
  <c r="L468" i="15"/>
  <c r="AE467" i="15"/>
  <c r="AF467" i="15" s="1"/>
  <c r="Z467" i="15"/>
  <c r="AA467" i="15" s="1"/>
  <c r="U467" i="15"/>
  <c r="T467" i="15"/>
  <c r="V467" i="15" s="1"/>
  <c r="L467" i="15"/>
  <c r="AE466" i="15"/>
  <c r="AF466" i="15" s="1"/>
  <c r="Z466" i="15"/>
  <c r="AA466" i="15" s="1"/>
  <c r="U466" i="15"/>
  <c r="T466" i="15"/>
  <c r="V466" i="15" s="1"/>
  <c r="L466" i="15"/>
  <c r="AE465" i="15"/>
  <c r="AF465" i="15" s="1"/>
  <c r="Z465" i="15"/>
  <c r="AA465" i="15" s="1"/>
  <c r="U465" i="15"/>
  <c r="T465" i="15"/>
  <c r="V465" i="15" s="1"/>
  <c r="L465" i="15"/>
  <c r="AE464" i="15"/>
  <c r="AF464" i="15" s="1"/>
  <c r="Z464" i="15"/>
  <c r="AA464" i="15" s="1"/>
  <c r="U464" i="15"/>
  <c r="T464" i="15"/>
  <c r="V464" i="15" s="1"/>
  <c r="L464" i="15"/>
  <c r="AE463" i="15"/>
  <c r="AF463" i="15" s="1"/>
  <c r="Z463" i="15"/>
  <c r="AA463" i="15" s="1"/>
  <c r="U463" i="15"/>
  <c r="T463" i="15"/>
  <c r="V463" i="15" s="1"/>
  <c r="L463" i="15"/>
  <c r="AE462" i="15"/>
  <c r="AF462" i="15" s="1"/>
  <c r="Z462" i="15"/>
  <c r="AA462" i="15" s="1"/>
  <c r="U462" i="15"/>
  <c r="T462" i="15"/>
  <c r="V462" i="15" s="1"/>
  <c r="L462" i="15"/>
  <c r="AE461" i="15"/>
  <c r="AF461" i="15" s="1"/>
  <c r="Z461" i="15"/>
  <c r="AA461" i="15" s="1"/>
  <c r="U461" i="15"/>
  <c r="T461" i="15"/>
  <c r="V461" i="15" s="1"/>
  <c r="L461" i="15"/>
  <c r="AE460" i="15"/>
  <c r="AF460" i="15" s="1"/>
  <c r="Z460" i="15"/>
  <c r="AA460" i="15" s="1"/>
  <c r="U460" i="15"/>
  <c r="T460" i="15"/>
  <c r="V460" i="15" s="1"/>
  <c r="L460" i="15"/>
  <c r="AE459" i="15"/>
  <c r="AF459" i="15" s="1"/>
  <c r="Z459" i="15"/>
  <c r="AA459" i="15" s="1"/>
  <c r="U459" i="15"/>
  <c r="T459" i="15"/>
  <c r="V459" i="15" s="1"/>
  <c r="L459" i="15"/>
  <c r="AE458" i="15"/>
  <c r="AF458" i="15" s="1"/>
  <c r="Z458" i="15"/>
  <c r="AA458" i="15" s="1"/>
  <c r="U458" i="15"/>
  <c r="T458" i="15"/>
  <c r="V458" i="15" s="1"/>
  <c r="L458" i="15"/>
  <c r="AE457" i="15"/>
  <c r="AF457" i="15" s="1"/>
  <c r="Z457" i="15"/>
  <c r="AA457" i="15" s="1"/>
  <c r="U457" i="15"/>
  <c r="T457" i="15"/>
  <c r="V457" i="15" s="1"/>
  <c r="L457" i="15"/>
  <c r="AE456" i="15"/>
  <c r="AF456" i="15" s="1"/>
  <c r="Z456" i="15"/>
  <c r="AA456" i="15" s="1"/>
  <c r="U456" i="15"/>
  <c r="T456" i="15"/>
  <c r="V456" i="15" s="1"/>
  <c r="L456" i="15"/>
  <c r="AE455" i="15"/>
  <c r="AF455" i="15" s="1"/>
  <c r="Z455" i="15"/>
  <c r="AA455" i="15" s="1"/>
  <c r="U455" i="15"/>
  <c r="T455" i="15"/>
  <c r="V455" i="15" s="1"/>
  <c r="L455" i="15"/>
  <c r="AE454" i="15"/>
  <c r="AF454" i="15" s="1"/>
  <c r="Z454" i="15"/>
  <c r="AA454" i="15" s="1"/>
  <c r="U454" i="15"/>
  <c r="T454" i="15"/>
  <c r="V454" i="15" s="1"/>
  <c r="L454" i="15"/>
  <c r="AE453" i="15"/>
  <c r="AF453" i="15" s="1"/>
  <c r="Z453" i="15"/>
  <c r="AA453" i="15" s="1"/>
  <c r="U453" i="15"/>
  <c r="T453" i="15"/>
  <c r="V453" i="15" s="1"/>
  <c r="L453" i="15"/>
  <c r="AE452" i="15"/>
  <c r="AF452" i="15" s="1"/>
  <c r="Z452" i="15"/>
  <c r="AA452" i="15" s="1"/>
  <c r="U452" i="15"/>
  <c r="T452" i="15"/>
  <c r="V452" i="15" s="1"/>
  <c r="L452" i="15"/>
  <c r="AE451" i="15"/>
  <c r="AF451" i="15" s="1"/>
  <c r="Z451" i="15"/>
  <c r="AA451" i="15" s="1"/>
  <c r="U451" i="15"/>
  <c r="T451" i="15"/>
  <c r="V451" i="15" s="1"/>
  <c r="L451" i="15"/>
  <c r="AE450" i="15"/>
  <c r="AF450" i="15" s="1"/>
  <c r="Z450" i="15"/>
  <c r="AA450" i="15" s="1"/>
  <c r="U450" i="15"/>
  <c r="T450" i="15"/>
  <c r="V450" i="15" s="1"/>
  <c r="L450" i="15"/>
  <c r="AE449" i="15"/>
  <c r="AF449" i="15" s="1"/>
  <c r="Z449" i="15"/>
  <c r="AA449" i="15" s="1"/>
  <c r="U449" i="15"/>
  <c r="T449" i="15"/>
  <c r="V449" i="15" s="1"/>
  <c r="L449" i="15"/>
  <c r="AE448" i="15"/>
  <c r="AF448" i="15" s="1"/>
  <c r="Z448" i="15"/>
  <c r="AA448" i="15" s="1"/>
  <c r="U448" i="15"/>
  <c r="T448" i="15"/>
  <c r="V448" i="15" s="1"/>
  <c r="L448" i="15"/>
  <c r="AE447" i="15"/>
  <c r="AF447" i="15" s="1"/>
  <c r="Z447" i="15"/>
  <c r="AA447" i="15" s="1"/>
  <c r="U447" i="15"/>
  <c r="T447" i="15"/>
  <c r="V447" i="15" s="1"/>
  <c r="L447" i="15"/>
  <c r="AE446" i="15"/>
  <c r="AF446" i="15" s="1"/>
  <c r="Z446" i="15"/>
  <c r="AA446" i="15" s="1"/>
  <c r="U446" i="15"/>
  <c r="T446" i="15"/>
  <c r="V446" i="15" s="1"/>
  <c r="L446" i="15"/>
  <c r="AE445" i="15"/>
  <c r="AF445" i="15" s="1"/>
  <c r="Z445" i="15"/>
  <c r="AA445" i="15" s="1"/>
  <c r="U445" i="15"/>
  <c r="T445" i="15"/>
  <c r="V445" i="15" s="1"/>
  <c r="L445" i="15"/>
  <c r="AE444" i="15"/>
  <c r="AF444" i="15" s="1"/>
  <c r="Z444" i="15"/>
  <c r="AA444" i="15" s="1"/>
  <c r="U444" i="15"/>
  <c r="T444" i="15"/>
  <c r="V444" i="15" s="1"/>
  <c r="L444" i="15"/>
  <c r="AE443" i="15"/>
  <c r="AF443" i="15" s="1"/>
  <c r="Z443" i="15"/>
  <c r="AA443" i="15" s="1"/>
  <c r="U443" i="15"/>
  <c r="T443" i="15"/>
  <c r="V443" i="15" s="1"/>
  <c r="L443" i="15"/>
  <c r="AE442" i="15"/>
  <c r="AF442" i="15" s="1"/>
  <c r="Z442" i="15"/>
  <c r="AA442" i="15" s="1"/>
  <c r="U442" i="15"/>
  <c r="T442" i="15"/>
  <c r="V442" i="15" s="1"/>
  <c r="L442" i="15"/>
  <c r="AE441" i="15"/>
  <c r="AF441" i="15" s="1"/>
  <c r="Z441" i="15"/>
  <c r="AA441" i="15" s="1"/>
  <c r="U441" i="15"/>
  <c r="T441" i="15"/>
  <c r="V441" i="15" s="1"/>
  <c r="L441" i="15"/>
  <c r="AE440" i="15"/>
  <c r="AF440" i="15" s="1"/>
  <c r="Z440" i="15"/>
  <c r="AA440" i="15" s="1"/>
  <c r="U440" i="15"/>
  <c r="T440" i="15"/>
  <c r="V440" i="15" s="1"/>
  <c r="L440" i="15"/>
  <c r="AE439" i="15"/>
  <c r="AF439" i="15" s="1"/>
  <c r="Z439" i="15"/>
  <c r="AA439" i="15" s="1"/>
  <c r="U439" i="15"/>
  <c r="T439" i="15"/>
  <c r="V439" i="15" s="1"/>
  <c r="L439" i="15"/>
  <c r="AE438" i="15"/>
  <c r="AF438" i="15" s="1"/>
  <c r="Z438" i="15"/>
  <c r="AA438" i="15" s="1"/>
  <c r="U438" i="15"/>
  <c r="T438" i="15"/>
  <c r="V438" i="15" s="1"/>
  <c r="L438" i="15"/>
  <c r="AE437" i="15"/>
  <c r="AF437" i="15" s="1"/>
  <c r="Z437" i="15"/>
  <c r="AA437" i="15" s="1"/>
  <c r="U437" i="15"/>
  <c r="T437" i="15"/>
  <c r="V437" i="15" s="1"/>
  <c r="L437" i="15"/>
  <c r="AE436" i="15"/>
  <c r="AF436" i="15" s="1"/>
  <c r="Z436" i="15"/>
  <c r="AA436" i="15" s="1"/>
  <c r="U436" i="15"/>
  <c r="T436" i="15"/>
  <c r="V436" i="15" s="1"/>
  <c r="L436" i="15"/>
  <c r="AE435" i="15"/>
  <c r="AF435" i="15" s="1"/>
  <c r="Z435" i="15"/>
  <c r="AA435" i="15" s="1"/>
  <c r="U435" i="15"/>
  <c r="T435" i="15"/>
  <c r="V435" i="15" s="1"/>
  <c r="L435" i="15"/>
  <c r="AE434" i="15"/>
  <c r="AF434" i="15" s="1"/>
  <c r="Z434" i="15"/>
  <c r="AA434" i="15" s="1"/>
  <c r="U434" i="15"/>
  <c r="T434" i="15"/>
  <c r="V434" i="15" s="1"/>
  <c r="L434" i="15"/>
  <c r="AE433" i="15"/>
  <c r="AF433" i="15" s="1"/>
  <c r="Z433" i="15"/>
  <c r="AA433" i="15" s="1"/>
  <c r="U433" i="15"/>
  <c r="T433" i="15"/>
  <c r="V433" i="15" s="1"/>
  <c r="L433" i="15"/>
  <c r="AE432" i="15"/>
  <c r="AF432" i="15" s="1"/>
  <c r="Z432" i="15"/>
  <c r="AA432" i="15" s="1"/>
  <c r="U432" i="15"/>
  <c r="T432" i="15"/>
  <c r="V432" i="15" s="1"/>
  <c r="L432" i="15"/>
  <c r="AE431" i="15"/>
  <c r="AF431" i="15" s="1"/>
  <c r="Z431" i="15"/>
  <c r="AA431" i="15" s="1"/>
  <c r="U431" i="15"/>
  <c r="T431" i="15"/>
  <c r="V431" i="15" s="1"/>
  <c r="L431" i="15"/>
  <c r="AE430" i="15"/>
  <c r="AF430" i="15" s="1"/>
  <c r="Z430" i="15"/>
  <c r="AA430" i="15" s="1"/>
  <c r="U430" i="15"/>
  <c r="T430" i="15"/>
  <c r="V430" i="15" s="1"/>
  <c r="L430" i="15"/>
  <c r="AE429" i="15"/>
  <c r="AF429" i="15" s="1"/>
  <c r="Z429" i="15"/>
  <c r="AA429" i="15" s="1"/>
  <c r="U429" i="15"/>
  <c r="T429" i="15"/>
  <c r="V429" i="15" s="1"/>
  <c r="L429" i="15"/>
  <c r="AE428" i="15"/>
  <c r="AF428" i="15" s="1"/>
  <c r="Z428" i="15"/>
  <c r="AA428" i="15" s="1"/>
  <c r="U428" i="15"/>
  <c r="T428" i="15"/>
  <c r="V428" i="15" s="1"/>
  <c r="L428" i="15"/>
  <c r="AE427" i="15"/>
  <c r="AF427" i="15" s="1"/>
  <c r="Z427" i="15"/>
  <c r="AA427" i="15" s="1"/>
  <c r="U427" i="15"/>
  <c r="T427" i="15"/>
  <c r="V427" i="15" s="1"/>
  <c r="L427" i="15"/>
  <c r="AE426" i="15"/>
  <c r="AF426" i="15" s="1"/>
  <c r="Z426" i="15"/>
  <c r="AA426" i="15" s="1"/>
  <c r="U426" i="15"/>
  <c r="T426" i="15"/>
  <c r="V426" i="15" s="1"/>
  <c r="L426" i="15"/>
  <c r="AE425" i="15"/>
  <c r="AF425" i="15" s="1"/>
  <c r="Z425" i="15"/>
  <c r="AA425" i="15" s="1"/>
  <c r="U425" i="15"/>
  <c r="T425" i="15"/>
  <c r="V425" i="15" s="1"/>
  <c r="L425" i="15"/>
  <c r="AE424" i="15"/>
  <c r="AF424" i="15" s="1"/>
  <c r="Z424" i="15"/>
  <c r="AA424" i="15" s="1"/>
  <c r="U424" i="15"/>
  <c r="T424" i="15"/>
  <c r="V424" i="15" s="1"/>
  <c r="L424" i="15"/>
  <c r="AE423" i="15"/>
  <c r="AF423" i="15" s="1"/>
  <c r="Z423" i="15"/>
  <c r="AA423" i="15" s="1"/>
  <c r="U423" i="15"/>
  <c r="T423" i="15"/>
  <c r="V423" i="15" s="1"/>
  <c r="L423" i="15"/>
  <c r="AE422" i="15"/>
  <c r="AF422" i="15" s="1"/>
  <c r="Z422" i="15"/>
  <c r="AA422" i="15" s="1"/>
  <c r="U422" i="15"/>
  <c r="T422" i="15"/>
  <c r="V422" i="15" s="1"/>
  <c r="L422" i="15"/>
  <c r="AE421" i="15"/>
  <c r="AF421" i="15" s="1"/>
  <c r="Z421" i="15"/>
  <c r="AA421" i="15" s="1"/>
  <c r="U421" i="15"/>
  <c r="T421" i="15"/>
  <c r="V421" i="15" s="1"/>
  <c r="L421" i="15"/>
  <c r="AE420" i="15"/>
  <c r="AF420" i="15" s="1"/>
  <c r="Z420" i="15"/>
  <c r="AA420" i="15" s="1"/>
  <c r="U420" i="15"/>
  <c r="T420" i="15"/>
  <c r="V420" i="15" s="1"/>
  <c r="L420" i="15"/>
  <c r="AE419" i="15"/>
  <c r="AF419" i="15" s="1"/>
  <c r="Z419" i="15"/>
  <c r="AA419" i="15" s="1"/>
  <c r="U419" i="15"/>
  <c r="T419" i="15"/>
  <c r="V419" i="15" s="1"/>
  <c r="L419" i="15"/>
  <c r="AE418" i="15"/>
  <c r="AF418" i="15" s="1"/>
  <c r="Z418" i="15"/>
  <c r="AA418" i="15" s="1"/>
  <c r="U418" i="15"/>
  <c r="T418" i="15"/>
  <c r="V418" i="15" s="1"/>
  <c r="L418" i="15"/>
  <c r="AE417" i="15"/>
  <c r="AF417" i="15" s="1"/>
  <c r="Z417" i="15"/>
  <c r="AA417" i="15" s="1"/>
  <c r="U417" i="15"/>
  <c r="T417" i="15"/>
  <c r="V417" i="15" s="1"/>
  <c r="L417" i="15"/>
  <c r="AE416" i="15"/>
  <c r="AF416" i="15" s="1"/>
  <c r="Z416" i="15"/>
  <c r="AA416" i="15" s="1"/>
  <c r="U416" i="15"/>
  <c r="T416" i="15"/>
  <c r="V416" i="15" s="1"/>
  <c r="L416" i="15"/>
  <c r="AE415" i="15"/>
  <c r="AF415" i="15" s="1"/>
  <c r="Z415" i="15"/>
  <c r="AA415" i="15" s="1"/>
  <c r="U415" i="15"/>
  <c r="T415" i="15"/>
  <c r="V415" i="15" s="1"/>
  <c r="L415" i="15"/>
  <c r="AE414" i="15"/>
  <c r="AF414" i="15" s="1"/>
  <c r="Z414" i="15"/>
  <c r="AA414" i="15" s="1"/>
  <c r="U414" i="15"/>
  <c r="T414" i="15"/>
  <c r="V414" i="15" s="1"/>
  <c r="L414" i="15"/>
  <c r="AE413" i="15"/>
  <c r="AF413" i="15" s="1"/>
  <c r="Z413" i="15"/>
  <c r="AA413" i="15" s="1"/>
  <c r="U413" i="15"/>
  <c r="T413" i="15"/>
  <c r="V413" i="15" s="1"/>
  <c r="L413" i="15"/>
  <c r="AE412" i="15"/>
  <c r="AF412" i="15" s="1"/>
  <c r="Z412" i="15"/>
  <c r="AA412" i="15" s="1"/>
  <c r="U412" i="15"/>
  <c r="T412" i="15"/>
  <c r="V412" i="15" s="1"/>
  <c r="L412" i="15"/>
  <c r="AE411" i="15"/>
  <c r="AF411" i="15" s="1"/>
  <c r="Z411" i="15"/>
  <c r="AA411" i="15" s="1"/>
  <c r="U411" i="15"/>
  <c r="T411" i="15"/>
  <c r="V411" i="15" s="1"/>
  <c r="L411" i="15"/>
  <c r="AE410" i="15"/>
  <c r="AF410" i="15" s="1"/>
  <c r="Z410" i="15"/>
  <c r="AA410" i="15" s="1"/>
  <c r="U410" i="15"/>
  <c r="T410" i="15"/>
  <c r="V410" i="15" s="1"/>
  <c r="L410" i="15"/>
  <c r="AE409" i="15"/>
  <c r="AF409" i="15" s="1"/>
  <c r="Z409" i="15"/>
  <c r="AA409" i="15" s="1"/>
  <c r="U409" i="15"/>
  <c r="T409" i="15"/>
  <c r="V409" i="15" s="1"/>
  <c r="L409" i="15"/>
  <c r="AE408" i="15"/>
  <c r="AF408" i="15" s="1"/>
  <c r="Z408" i="15"/>
  <c r="AA408" i="15" s="1"/>
  <c r="U408" i="15"/>
  <c r="T408" i="15"/>
  <c r="V408" i="15" s="1"/>
  <c r="L408" i="15"/>
  <c r="AE407" i="15"/>
  <c r="AF407" i="15" s="1"/>
  <c r="Z407" i="15"/>
  <c r="AA407" i="15" s="1"/>
  <c r="U407" i="15"/>
  <c r="T407" i="15"/>
  <c r="V407" i="15" s="1"/>
  <c r="L407" i="15"/>
  <c r="AE406" i="15"/>
  <c r="AF406" i="15" s="1"/>
  <c r="Z406" i="15"/>
  <c r="AA406" i="15" s="1"/>
  <c r="U406" i="15"/>
  <c r="T406" i="15"/>
  <c r="V406" i="15" s="1"/>
  <c r="L406" i="15"/>
  <c r="AE405" i="15"/>
  <c r="AF405" i="15" s="1"/>
  <c r="Z405" i="15"/>
  <c r="AA405" i="15" s="1"/>
  <c r="U405" i="15"/>
  <c r="T405" i="15"/>
  <c r="V405" i="15" s="1"/>
  <c r="L405" i="15"/>
  <c r="AE404" i="15"/>
  <c r="AF404" i="15" s="1"/>
  <c r="Z404" i="15"/>
  <c r="AA404" i="15" s="1"/>
  <c r="U404" i="15"/>
  <c r="T404" i="15"/>
  <c r="V404" i="15" s="1"/>
  <c r="L404" i="15"/>
  <c r="AE403" i="15"/>
  <c r="AF403" i="15" s="1"/>
  <c r="Z403" i="15"/>
  <c r="AA403" i="15" s="1"/>
  <c r="U403" i="15"/>
  <c r="T403" i="15"/>
  <c r="V403" i="15" s="1"/>
  <c r="L403" i="15"/>
  <c r="AE402" i="15"/>
  <c r="AF402" i="15" s="1"/>
  <c r="Z402" i="15"/>
  <c r="AA402" i="15" s="1"/>
  <c r="U402" i="15"/>
  <c r="T402" i="15"/>
  <c r="V402" i="15" s="1"/>
  <c r="L402" i="15"/>
  <c r="AE401" i="15"/>
  <c r="AF401" i="15" s="1"/>
  <c r="Z401" i="15"/>
  <c r="AA401" i="15" s="1"/>
  <c r="U401" i="15"/>
  <c r="T401" i="15"/>
  <c r="V401" i="15" s="1"/>
  <c r="L401" i="15"/>
  <c r="AE400" i="15"/>
  <c r="AF400" i="15" s="1"/>
  <c r="Z400" i="15"/>
  <c r="AA400" i="15" s="1"/>
  <c r="U400" i="15"/>
  <c r="T400" i="15"/>
  <c r="V400" i="15" s="1"/>
  <c r="L400" i="15"/>
  <c r="AE399" i="15"/>
  <c r="AF399" i="15" s="1"/>
  <c r="Z399" i="15"/>
  <c r="AA399" i="15" s="1"/>
  <c r="U399" i="15"/>
  <c r="T399" i="15"/>
  <c r="V399" i="15" s="1"/>
  <c r="L399" i="15"/>
  <c r="AE398" i="15"/>
  <c r="AF398" i="15" s="1"/>
  <c r="Z398" i="15"/>
  <c r="AA398" i="15" s="1"/>
  <c r="U398" i="15"/>
  <c r="T398" i="15"/>
  <c r="V398" i="15" s="1"/>
  <c r="L398" i="15"/>
  <c r="AE397" i="15"/>
  <c r="AF397" i="15" s="1"/>
  <c r="Z397" i="15"/>
  <c r="AA397" i="15" s="1"/>
  <c r="U397" i="15"/>
  <c r="T397" i="15"/>
  <c r="V397" i="15" s="1"/>
  <c r="L397" i="15"/>
  <c r="AE396" i="15"/>
  <c r="AF396" i="15" s="1"/>
  <c r="Z396" i="15"/>
  <c r="AA396" i="15" s="1"/>
  <c r="U396" i="15"/>
  <c r="T396" i="15"/>
  <c r="V396" i="15" s="1"/>
  <c r="L396" i="15"/>
  <c r="AE395" i="15"/>
  <c r="AF395" i="15" s="1"/>
  <c r="Z395" i="15"/>
  <c r="AA395" i="15" s="1"/>
  <c r="U395" i="15"/>
  <c r="T395" i="15"/>
  <c r="V395" i="15" s="1"/>
  <c r="L395" i="15"/>
  <c r="AE394" i="15"/>
  <c r="AF394" i="15" s="1"/>
  <c r="Z394" i="15"/>
  <c r="AA394" i="15" s="1"/>
  <c r="U394" i="15"/>
  <c r="T394" i="15"/>
  <c r="V394" i="15" s="1"/>
  <c r="L394" i="15"/>
  <c r="AE393" i="15"/>
  <c r="AF393" i="15" s="1"/>
  <c r="Z393" i="15"/>
  <c r="AA393" i="15" s="1"/>
  <c r="U393" i="15"/>
  <c r="T393" i="15"/>
  <c r="V393" i="15" s="1"/>
  <c r="L393" i="15"/>
  <c r="AE392" i="15"/>
  <c r="AF392" i="15" s="1"/>
  <c r="Z392" i="15"/>
  <c r="AA392" i="15" s="1"/>
  <c r="U392" i="15"/>
  <c r="T392" i="15"/>
  <c r="V392" i="15" s="1"/>
  <c r="L392" i="15"/>
  <c r="AE391" i="15"/>
  <c r="AF391" i="15" s="1"/>
  <c r="Z391" i="15"/>
  <c r="AA391" i="15" s="1"/>
  <c r="U391" i="15"/>
  <c r="T391" i="15"/>
  <c r="V391" i="15" s="1"/>
  <c r="L391" i="15"/>
  <c r="AE390" i="15"/>
  <c r="AF390" i="15" s="1"/>
  <c r="Z390" i="15"/>
  <c r="AA390" i="15" s="1"/>
  <c r="U390" i="15"/>
  <c r="T390" i="15"/>
  <c r="V390" i="15" s="1"/>
  <c r="L390" i="15"/>
  <c r="AE389" i="15"/>
  <c r="AF389" i="15" s="1"/>
  <c r="Z389" i="15"/>
  <c r="AA389" i="15" s="1"/>
  <c r="U389" i="15"/>
  <c r="T389" i="15"/>
  <c r="V389" i="15" s="1"/>
  <c r="L389" i="15"/>
  <c r="AE388" i="15"/>
  <c r="AF388" i="15" s="1"/>
  <c r="Z388" i="15"/>
  <c r="AA388" i="15" s="1"/>
  <c r="U388" i="15"/>
  <c r="T388" i="15"/>
  <c r="V388" i="15" s="1"/>
  <c r="L388" i="15"/>
  <c r="AE387" i="15"/>
  <c r="AF387" i="15" s="1"/>
  <c r="Z387" i="15"/>
  <c r="AA387" i="15" s="1"/>
  <c r="U387" i="15"/>
  <c r="T387" i="15"/>
  <c r="V387" i="15" s="1"/>
  <c r="L387" i="15"/>
  <c r="AE386" i="15"/>
  <c r="AF386" i="15" s="1"/>
  <c r="Z386" i="15"/>
  <c r="AA386" i="15" s="1"/>
  <c r="U386" i="15"/>
  <c r="T386" i="15"/>
  <c r="V386" i="15" s="1"/>
  <c r="L386" i="15"/>
  <c r="AE385" i="15"/>
  <c r="AF385" i="15" s="1"/>
  <c r="Z385" i="15"/>
  <c r="AA385" i="15" s="1"/>
  <c r="U385" i="15"/>
  <c r="T385" i="15"/>
  <c r="V385" i="15" s="1"/>
  <c r="L385" i="15"/>
  <c r="AE384" i="15"/>
  <c r="AF384" i="15" s="1"/>
  <c r="Z384" i="15"/>
  <c r="AA384" i="15" s="1"/>
  <c r="U384" i="15"/>
  <c r="T384" i="15"/>
  <c r="V384" i="15" s="1"/>
  <c r="L384" i="15"/>
  <c r="AE383" i="15"/>
  <c r="AF383" i="15" s="1"/>
  <c r="Z383" i="15"/>
  <c r="AA383" i="15" s="1"/>
  <c r="U383" i="15"/>
  <c r="T383" i="15"/>
  <c r="V383" i="15" s="1"/>
  <c r="L383" i="15"/>
  <c r="AE382" i="15"/>
  <c r="AF382" i="15" s="1"/>
  <c r="Z382" i="15"/>
  <c r="AA382" i="15" s="1"/>
  <c r="U382" i="15"/>
  <c r="T382" i="15"/>
  <c r="V382" i="15" s="1"/>
  <c r="L382" i="15"/>
  <c r="AE381" i="15"/>
  <c r="AF381" i="15" s="1"/>
  <c r="Z381" i="15"/>
  <c r="AA381" i="15" s="1"/>
  <c r="U381" i="15"/>
  <c r="T381" i="15"/>
  <c r="V381" i="15" s="1"/>
  <c r="L381" i="15"/>
  <c r="AE380" i="15"/>
  <c r="AF380" i="15" s="1"/>
  <c r="Z380" i="15"/>
  <c r="AA380" i="15" s="1"/>
  <c r="U380" i="15"/>
  <c r="T380" i="15"/>
  <c r="V380" i="15" s="1"/>
  <c r="L380" i="15"/>
  <c r="AE379" i="15"/>
  <c r="AF379" i="15" s="1"/>
  <c r="Z379" i="15"/>
  <c r="AA379" i="15" s="1"/>
  <c r="U379" i="15"/>
  <c r="T379" i="15"/>
  <c r="V379" i="15" s="1"/>
  <c r="L379" i="15"/>
  <c r="AE378" i="15"/>
  <c r="AF378" i="15" s="1"/>
  <c r="Z378" i="15"/>
  <c r="AA378" i="15" s="1"/>
  <c r="U378" i="15"/>
  <c r="T378" i="15"/>
  <c r="V378" i="15" s="1"/>
  <c r="L378" i="15"/>
  <c r="AE377" i="15"/>
  <c r="AF377" i="15" s="1"/>
  <c r="Z377" i="15"/>
  <c r="AA377" i="15" s="1"/>
  <c r="U377" i="15"/>
  <c r="T377" i="15"/>
  <c r="V377" i="15" s="1"/>
  <c r="L377" i="15"/>
  <c r="AE376" i="15"/>
  <c r="AF376" i="15" s="1"/>
  <c r="Z376" i="15"/>
  <c r="AA376" i="15" s="1"/>
  <c r="U376" i="15"/>
  <c r="T376" i="15"/>
  <c r="V376" i="15" s="1"/>
  <c r="L376" i="15"/>
  <c r="AE375" i="15"/>
  <c r="AF375" i="15" s="1"/>
  <c r="Z375" i="15"/>
  <c r="AA375" i="15" s="1"/>
  <c r="U375" i="15"/>
  <c r="T375" i="15"/>
  <c r="V375" i="15" s="1"/>
  <c r="L375" i="15"/>
  <c r="AE374" i="15"/>
  <c r="AF374" i="15" s="1"/>
  <c r="Z374" i="15"/>
  <c r="AA374" i="15" s="1"/>
  <c r="U374" i="15"/>
  <c r="T374" i="15"/>
  <c r="V374" i="15" s="1"/>
  <c r="L374" i="15"/>
  <c r="AE373" i="15"/>
  <c r="AF373" i="15" s="1"/>
  <c r="Z373" i="15"/>
  <c r="AA373" i="15" s="1"/>
  <c r="U373" i="15"/>
  <c r="T373" i="15"/>
  <c r="V373" i="15" s="1"/>
  <c r="L373" i="15"/>
  <c r="AE372" i="15"/>
  <c r="AF372" i="15" s="1"/>
  <c r="Z372" i="15"/>
  <c r="AA372" i="15" s="1"/>
  <c r="U372" i="15"/>
  <c r="T372" i="15"/>
  <c r="V372" i="15" s="1"/>
  <c r="L372" i="15"/>
  <c r="AE371" i="15"/>
  <c r="AF371" i="15" s="1"/>
  <c r="Z371" i="15"/>
  <c r="AA371" i="15" s="1"/>
  <c r="U371" i="15"/>
  <c r="T371" i="15"/>
  <c r="V371" i="15" s="1"/>
  <c r="L371" i="15"/>
  <c r="AE370" i="15"/>
  <c r="AF370" i="15" s="1"/>
  <c r="Z370" i="15"/>
  <c r="AA370" i="15" s="1"/>
  <c r="U370" i="15"/>
  <c r="T370" i="15"/>
  <c r="V370" i="15" s="1"/>
  <c r="L370" i="15"/>
  <c r="AE369" i="15"/>
  <c r="AF369" i="15" s="1"/>
  <c r="Z369" i="15"/>
  <c r="AA369" i="15" s="1"/>
  <c r="U369" i="15"/>
  <c r="T369" i="15"/>
  <c r="V369" i="15" s="1"/>
  <c r="L369" i="15"/>
  <c r="AE368" i="15"/>
  <c r="AF368" i="15" s="1"/>
  <c r="Z368" i="15"/>
  <c r="AA368" i="15" s="1"/>
  <c r="U368" i="15"/>
  <c r="T368" i="15"/>
  <c r="V368" i="15" s="1"/>
  <c r="L368" i="15"/>
  <c r="AE367" i="15"/>
  <c r="AF367" i="15" s="1"/>
  <c r="Z367" i="15"/>
  <c r="AA367" i="15" s="1"/>
  <c r="U367" i="15"/>
  <c r="T367" i="15"/>
  <c r="V367" i="15" s="1"/>
  <c r="L367" i="15"/>
  <c r="AE366" i="15"/>
  <c r="AF366" i="15" s="1"/>
  <c r="Z366" i="15"/>
  <c r="AA366" i="15" s="1"/>
  <c r="U366" i="15"/>
  <c r="T366" i="15"/>
  <c r="V366" i="15" s="1"/>
  <c r="L366" i="15"/>
  <c r="AE365" i="15"/>
  <c r="AF365" i="15" s="1"/>
  <c r="Z365" i="15"/>
  <c r="AA365" i="15" s="1"/>
  <c r="U365" i="15"/>
  <c r="T365" i="15"/>
  <c r="V365" i="15" s="1"/>
  <c r="L365" i="15"/>
  <c r="AE364" i="15"/>
  <c r="AF364" i="15" s="1"/>
  <c r="Z364" i="15"/>
  <c r="AA364" i="15" s="1"/>
  <c r="U364" i="15"/>
  <c r="T364" i="15"/>
  <c r="V364" i="15" s="1"/>
  <c r="L364" i="15"/>
  <c r="AE363" i="15"/>
  <c r="AF363" i="15" s="1"/>
  <c r="Z363" i="15"/>
  <c r="AA363" i="15" s="1"/>
  <c r="U363" i="15"/>
  <c r="T363" i="15"/>
  <c r="V363" i="15" s="1"/>
  <c r="L363" i="15"/>
  <c r="AE362" i="15"/>
  <c r="AF362" i="15" s="1"/>
  <c r="Z362" i="15"/>
  <c r="AA362" i="15" s="1"/>
  <c r="U362" i="15"/>
  <c r="T362" i="15"/>
  <c r="V362" i="15" s="1"/>
  <c r="L362" i="15"/>
  <c r="AE361" i="15"/>
  <c r="AF361" i="15" s="1"/>
  <c r="Z361" i="15"/>
  <c r="AA361" i="15" s="1"/>
  <c r="U361" i="15"/>
  <c r="T361" i="15"/>
  <c r="V361" i="15" s="1"/>
  <c r="L361" i="15"/>
  <c r="AE360" i="15"/>
  <c r="AF360" i="15" s="1"/>
  <c r="Z360" i="15"/>
  <c r="AA360" i="15" s="1"/>
  <c r="U360" i="15"/>
  <c r="T360" i="15"/>
  <c r="V360" i="15" s="1"/>
  <c r="L360" i="15"/>
  <c r="AE359" i="15"/>
  <c r="AF359" i="15" s="1"/>
  <c r="Z359" i="15"/>
  <c r="AA359" i="15" s="1"/>
  <c r="U359" i="15"/>
  <c r="T359" i="15"/>
  <c r="V359" i="15" s="1"/>
  <c r="L359" i="15"/>
  <c r="AE358" i="15"/>
  <c r="AF358" i="15" s="1"/>
  <c r="Z358" i="15"/>
  <c r="AA358" i="15" s="1"/>
  <c r="U358" i="15"/>
  <c r="T358" i="15"/>
  <c r="V358" i="15" s="1"/>
  <c r="L358" i="15"/>
  <c r="AE357" i="15"/>
  <c r="AF357" i="15" s="1"/>
  <c r="Z357" i="15"/>
  <c r="AA357" i="15" s="1"/>
  <c r="U357" i="15"/>
  <c r="T357" i="15"/>
  <c r="V357" i="15" s="1"/>
  <c r="L357" i="15"/>
  <c r="AE356" i="15"/>
  <c r="AF356" i="15" s="1"/>
  <c r="Z356" i="15"/>
  <c r="AA356" i="15" s="1"/>
  <c r="U356" i="15"/>
  <c r="T356" i="15"/>
  <c r="V356" i="15" s="1"/>
  <c r="L356" i="15"/>
  <c r="AE355" i="15"/>
  <c r="AF355" i="15" s="1"/>
  <c r="Z355" i="15"/>
  <c r="AA355" i="15" s="1"/>
  <c r="U355" i="15"/>
  <c r="T355" i="15"/>
  <c r="V355" i="15" s="1"/>
  <c r="L355" i="15"/>
  <c r="AE354" i="15"/>
  <c r="AF354" i="15" s="1"/>
  <c r="Z354" i="15"/>
  <c r="AA354" i="15" s="1"/>
  <c r="U354" i="15"/>
  <c r="T354" i="15"/>
  <c r="V354" i="15" s="1"/>
  <c r="L354" i="15"/>
  <c r="AE353" i="15"/>
  <c r="AF353" i="15" s="1"/>
  <c r="Z353" i="15"/>
  <c r="AA353" i="15" s="1"/>
  <c r="U353" i="15"/>
  <c r="T353" i="15"/>
  <c r="V353" i="15" s="1"/>
  <c r="L353" i="15"/>
  <c r="AE352" i="15"/>
  <c r="AF352" i="15" s="1"/>
  <c r="Z352" i="15"/>
  <c r="AA352" i="15" s="1"/>
  <c r="U352" i="15"/>
  <c r="T352" i="15"/>
  <c r="V352" i="15" s="1"/>
  <c r="L352" i="15"/>
  <c r="AE351" i="15"/>
  <c r="AF351" i="15" s="1"/>
  <c r="Z351" i="15"/>
  <c r="AA351" i="15" s="1"/>
  <c r="U351" i="15"/>
  <c r="T351" i="15"/>
  <c r="V351" i="15" s="1"/>
  <c r="L351" i="15"/>
  <c r="AE350" i="15"/>
  <c r="AF350" i="15" s="1"/>
  <c r="Z350" i="15"/>
  <c r="AA350" i="15" s="1"/>
  <c r="U350" i="15"/>
  <c r="T350" i="15"/>
  <c r="V350" i="15" s="1"/>
  <c r="L350" i="15"/>
  <c r="AE349" i="15"/>
  <c r="AF349" i="15" s="1"/>
  <c r="Z349" i="15"/>
  <c r="AA349" i="15" s="1"/>
  <c r="U349" i="15"/>
  <c r="T349" i="15"/>
  <c r="V349" i="15" s="1"/>
  <c r="L349" i="15"/>
  <c r="AE348" i="15"/>
  <c r="AF348" i="15" s="1"/>
  <c r="Z348" i="15"/>
  <c r="AA348" i="15" s="1"/>
  <c r="U348" i="15"/>
  <c r="T348" i="15"/>
  <c r="V348" i="15" s="1"/>
  <c r="L348" i="15"/>
  <c r="AE347" i="15"/>
  <c r="AF347" i="15" s="1"/>
  <c r="Z347" i="15"/>
  <c r="AA347" i="15" s="1"/>
  <c r="U347" i="15"/>
  <c r="T347" i="15"/>
  <c r="V347" i="15" s="1"/>
  <c r="L347" i="15"/>
  <c r="AE346" i="15"/>
  <c r="AF346" i="15" s="1"/>
  <c r="Z346" i="15"/>
  <c r="AA346" i="15" s="1"/>
  <c r="U346" i="15"/>
  <c r="T346" i="15"/>
  <c r="V346" i="15" s="1"/>
  <c r="L346" i="15"/>
  <c r="AE345" i="15"/>
  <c r="AF345" i="15" s="1"/>
  <c r="Z345" i="15"/>
  <c r="AA345" i="15" s="1"/>
  <c r="U345" i="15"/>
  <c r="T345" i="15"/>
  <c r="V345" i="15" s="1"/>
  <c r="L345" i="15"/>
  <c r="AE344" i="15"/>
  <c r="AF344" i="15" s="1"/>
  <c r="Z344" i="15"/>
  <c r="AA344" i="15" s="1"/>
  <c r="U344" i="15"/>
  <c r="T344" i="15"/>
  <c r="V344" i="15" s="1"/>
  <c r="L344" i="15"/>
  <c r="AE343" i="15"/>
  <c r="AF343" i="15" s="1"/>
  <c r="Z343" i="15"/>
  <c r="AA343" i="15" s="1"/>
  <c r="U343" i="15"/>
  <c r="T343" i="15"/>
  <c r="V343" i="15" s="1"/>
  <c r="L343" i="15"/>
  <c r="AE342" i="15"/>
  <c r="AF342" i="15" s="1"/>
  <c r="Z342" i="15"/>
  <c r="AA342" i="15" s="1"/>
  <c r="U342" i="15"/>
  <c r="T342" i="15"/>
  <c r="V342" i="15" s="1"/>
  <c r="L342" i="15"/>
  <c r="AE341" i="15"/>
  <c r="AF341" i="15" s="1"/>
  <c r="Z341" i="15"/>
  <c r="AA341" i="15" s="1"/>
  <c r="U341" i="15"/>
  <c r="T341" i="15"/>
  <c r="V341" i="15" s="1"/>
  <c r="L341" i="15"/>
  <c r="AE340" i="15"/>
  <c r="AF340" i="15" s="1"/>
  <c r="Z340" i="15"/>
  <c r="AA340" i="15" s="1"/>
  <c r="U340" i="15"/>
  <c r="T340" i="15"/>
  <c r="V340" i="15" s="1"/>
  <c r="L340" i="15"/>
  <c r="AE339" i="15"/>
  <c r="AF339" i="15" s="1"/>
  <c r="Z339" i="15"/>
  <c r="AA339" i="15" s="1"/>
  <c r="U339" i="15"/>
  <c r="T339" i="15"/>
  <c r="V339" i="15" s="1"/>
  <c r="L339" i="15"/>
  <c r="AE338" i="15"/>
  <c r="AF338" i="15" s="1"/>
  <c r="Z338" i="15"/>
  <c r="AA338" i="15" s="1"/>
  <c r="U338" i="15"/>
  <c r="T338" i="15"/>
  <c r="V338" i="15" s="1"/>
  <c r="L338" i="15"/>
  <c r="AE337" i="15"/>
  <c r="AF337" i="15" s="1"/>
  <c r="Z337" i="15"/>
  <c r="AA337" i="15" s="1"/>
  <c r="U337" i="15"/>
  <c r="T337" i="15"/>
  <c r="V337" i="15" s="1"/>
  <c r="L337" i="15"/>
  <c r="AE336" i="15"/>
  <c r="AF336" i="15" s="1"/>
  <c r="Z336" i="15"/>
  <c r="AA336" i="15" s="1"/>
  <c r="U336" i="15"/>
  <c r="T336" i="15"/>
  <c r="V336" i="15" s="1"/>
  <c r="L336" i="15"/>
  <c r="AE335" i="15"/>
  <c r="AF335" i="15" s="1"/>
  <c r="Z335" i="15"/>
  <c r="AA335" i="15" s="1"/>
  <c r="U335" i="15"/>
  <c r="T335" i="15"/>
  <c r="V335" i="15" s="1"/>
  <c r="L335" i="15"/>
  <c r="AE334" i="15"/>
  <c r="AF334" i="15" s="1"/>
  <c r="Z334" i="15"/>
  <c r="AA334" i="15" s="1"/>
  <c r="U334" i="15"/>
  <c r="T334" i="15"/>
  <c r="V334" i="15" s="1"/>
  <c r="L334" i="15"/>
  <c r="AE333" i="15"/>
  <c r="AF333" i="15" s="1"/>
  <c r="Z333" i="15"/>
  <c r="AA333" i="15" s="1"/>
  <c r="U333" i="15"/>
  <c r="T333" i="15"/>
  <c r="V333" i="15" s="1"/>
  <c r="L333" i="15"/>
  <c r="AE332" i="15"/>
  <c r="AF332" i="15" s="1"/>
  <c r="Z332" i="15"/>
  <c r="AA332" i="15" s="1"/>
  <c r="U332" i="15"/>
  <c r="T332" i="15"/>
  <c r="V332" i="15" s="1"/>
  <c r="L332" i="15"/>
  <c r="AE331" i="15"/>
  <c r="AF331" i="15" s="1"/>
  <c r="Z331" i="15"/>
  <c r="AA331" i="15" s="1"/>
  <c r="U331" i="15"/>
  <c r="T331" i="15"/>
  <c r="V331" i="15" s="1"/>
  <c r="L331" i="15"/>
  <c r="AE330" i="15"/>
  <c r="AF330" i="15" s="1"/>
  <c r="Z330" i="15"/>
  <c r="AA330" i="15" s="1"/>
  <c r="U330" i="15"/>
  <c r="T330" i="15"/>
  <c r="V330" i="15" s="1"/>
  <c r="L330" i="15"/>
  <c r="AE329" i="15"/>
  <c r="AF329" i="15" s="1"/>
  <c r="Z329" i="15"/>
  <c r="AA329" i="15" s="1"/>
  <c r="U329" i="15"/>
  <c r="T329" i="15"/>
  <c r="V329" i="15" s="1"/>
  <c r="L329" i="15"/>
  <c r="AE328" i="15"/>
  <c r="AF328" i="15" s="1"/>
  <c r="Z328" i="15"/>
  <c r="AA328" i="15" s="1"/>
  <c r="U328" i="15"/>
  <c r="T328" i="15"/>
  <c r="V328" i="15" s="1"/>
  <c r="L328" i="15"/>
  <c r="AE327" i="15"/>
  <c r="AF327" i="15" s="1"/>
  <c r="Z327" i="15"/>
  <c r="AA327" i="15" s="1"/>
  <c r="U327" i="15"/>
  <c r="T327" i="15"/>
  <c r="V327" i="15" s="1"/>
  <c r="L327" i="15"/>
  <c r="AE326" i="15"/>
  <c r="AF326" i="15" s="1"/>
  <c r="Z326" i="15"/>
  <c r="AA326" i="15" s="1"/>
  <c r="U326" i="15"/>
  <c r="T326" i="15"/>
  <c r="V326" i="15" s="1"/>
  <c r="L326" i="15"/>
  <c r="AE325" i="15"/>
  <c r="AF325" i="15" s="1"/>
  <c r="Z325" i="15"/>
  <c r="AA325" i="15" s="1"/>
  <c r="U325" i="15"/>
  <c r="T325" i="15"/>
  <c r="V325" i="15" s="1"/>
  <c r="L325" i="15"/>
  <c r="AE324" i="15"/>
  <c r="AF324" i="15" s="1"/>
  <c r="Z324" i="15"/>
  <c r="AA324" i="15" s="1"/>
  <c r="U324" i="15"/>
  <c r="T324" i="15"/>
  <c r="V324" i="15" s="1"/>
  <c r="L324" i="15"/>
  <c r="AE323" i="15"/>
  <c r="AF323" i="15" s="1"/>
  <c r="Z323" i="15"/>
  <c r="AA323" i="15" s="1"/>
  <c r="U323" i="15"/>
  <c r="T323" i="15"/>
  <c r="V323" i="15" s="1"/>
  <c r="L323" i="15"/>
  <c r="AE322" i="15"/>
  <c r="AF322" i="15" s="1"/>
  <c r="Z322" i="15"/>
  <c r="AA322" i="15" s="1"/>
  <c r="U322" i="15"/>
  <c r="T322" i="15"/>
  <c r="V322" i="15" s="1"/>
  <c r="L322" i="15"/>
  <c r="AE321" i="15"/>
  <c r="AF321" i="15" s="1"/>
  <c r="Z321" i="15"/>
  <c r="AA321" i="15" s="1"/>
  <c r="U321" i="15"/>
  <c r="T321" i="15"/>
  <c r="V321" i="15" s="1"/>
  <c r="L321" i="15"/>
  <c r="AE320" i="15"/>
  <c r="AF320" i="15" s="1"/>
  <c r="Z320" i="15"/>
  <c r="AA320" i="15" s="1"/>
  <c r="U320" i="15"/>
  <c r="T320" i="15"/>
  <c r="V320" i="15" s="1"/>
  <c r="L320" i="15"/>
  <c r="AE319" i="15"/>
  <c r="AF319" i="15" s="1"/>
  <c r="Z319" i="15"/>
  <c r="AA319" i="15" s="1"/>
  <c r="U319" i="15"/>
  <c r="T319" i="15"/>
  <c r="V319" i="15" s="1"/>
  <c r="L319" i="15"/>
  <c r="AE318" i="15"/>
  <c r="AF318" i="15" s="1"/>
  <c r="Z318" i="15"/>
  <c r="AA318" i="15" s="1"/>
  <c r="U318" i="15"/>
  <c r="T318" i="15"/>
  <c r="V318" i="15" s="1"/>
  <c r="L318" i="15"/>
  <c r="AE317" i="15"/>
  <c r="AF317" i="15" s="1"/>
  <c r="Z317" i="15"/>
  <c r="AA317" i="15" s="1"/>
  <c r="U317" i="15"/>
  <c r="T317" i="15"/>
  <c r="V317" i="15" s="1"/>
  <c r="L317" i="15"/>
  <c r="AE316" i="15"/>
  <c r="AF316" i="15" s="1"/>
  <c r="Z316" i="15"/>
  <c r="AA316" i="15" s="1"/>
  <c r="U316" i="15"/>
  <c r="T316" i="15"/>
  <c r="V316" i="15" s="1"/>
  <c r="L316" i="15"/>
  <c r="AE315" i="15"/>
  <c r="AF315" i="15" s="1"/>
  <c r="Z315" i="15"/>
  <c r="AA315" i="15" s="1"/>
  <c r="U315" i="15"/>
  <c r="T315" i="15"/>
  <c r="V315" i="15" s="1"/>
  <c r="L315" i="15"/>
  <c r="AE314" i="15"/>
  <c r="AF314" i="15" s="1"/>
  <c r="Z314" i="15"/>
  <c r="AA314" i="15" s="1"/>
  <c r="U314" i="15"/>
  <c r="T314" i="15"/>
  <c r="V314" i="15" s="1"/>
  <c r="L314" i="15"/>
  <c r="AE313" i="15"/>
  <c r="AF313" i="15" s="1"/>
  <c r="Z313" i="15"/>
  <c r="AA313" i="15" s="1"/>
  <c r="U313" i="15"/>
  <c r="T313" i="15"/>
  <c r="V313" i="15" s="1"/>
  <c r="L313" i="15"/>
  <c r="AE312" i="15"/>
  <c r="AF312" i="15" s="1"/>
  <c r="Z312" i="15"/>
  <c r="AA312" i="15" s="1"/>
  <c r="U312" i="15"/>
  <c r="T312" i="15"/>
  <c r="V312" i="15" s="1"/>
  <c r="L312" i="15"/>
  <c r="AE311" i="15"/>
  <c r="AF311" i="15" s="1"/>
  <c r="Z311" i="15"/>
  <c r="AA311" i="15" s="1"/>
  <c r="U311" i="15"/>
  <c r="T311" i="15"/>
  <c r="V311" i="15" s="1"/>
  <c r="L311" i="15"/>
  <c r="AE310" i="15"/>
  <c r="AF310" i="15" s="1"/>
  <c r="Z310" i="15"/>
  <c r="AA310" i="15" s="1"/>
  <c r="U310" i="15"/>
  <c r="T310" i="15"/>
  <c r="V310" i="15" s="1"/>
  <c r="L310" i="15"/>
  <c r="AE309" i="15"/>
  <c r="AF309" i="15" s="1"/>
  <c r="Z309" i="15"/>
  <c r="AA309" i="15" s="1"/>
  <c r="U309" i="15"/>
  <c r="T309" i="15"/>
  <c r="V309" i="15" s="1"/>
  <c r="L309" i="15"/>
  <c r="AE308" i="15"/>
  <c r="AF308" i="15" s="1"/>
  <c r="Z308" i="15"/>
  <c r="AA308" i="15" s="1"/>
  <c r="U308" i="15"/>
  <c r="T308" i="15"/>
  <c r="V308" i="15" s="1"/>
  <c r="L308" i="15"/>
  <c r="AE307" i="15"/>
  <c r="AF307" i="15" s="1"/>
  <c r="Z307" i="15"/>
  <c r="AA307" i="15" s="1"/>
  <c r="U307" i="15"/>
  <c r="T307" i="15"/>
  <c r="V307" i="15" s="1"/>
  <c r="L307" i="15"/>
  <c r="AE306" i="15"/>
  <c r="AF306" i="15" s="1"/>
  <c r="Z306" i="15"/>
  <c r="AA306" i="15" s="1"/>
  <c r="U306" i="15"/>
  <c r="T306" i="15"/>
  <c r="V306" i="15" s="1"/>
  <c r="L306" i="15"/>
  <c r="AE305" i="15"/>
  <c r="AF305" i="15" s="1"/>
  <c r="Z305" i="15"/>
  <c r="AA305" i="15" s="1"/>
  <c r="U305" i="15"/>
  <c r="T305" i="15"/>
  <c r="V305" i="15" s="1"/>
  <c r="L305" i="15"/>
  <c r="AE304" i="15"/>
  <c r="AF304" i="15" s="1"/>
  <c r="Z304" i="15"/>
  <c r="AA304" i="15" s="1"/>
  <c r="U304" i="15"/>
  <c r="T304" i="15"/>
  <c r="V304" i="15" s="1"/>
  <c r="L304" i="15"/>
  <c r="AE303" i="15"/>
  <c r="AF303" i="15" s="1"/>
  <c r="Z303" i="15"/>
  <c r="AA303" i="15" s="1"/>
  <c r="U303" i="15"/>
  <c r="T303" i="15"/>
  <c r="V303" i="15" s="1"/>
  <c r="L303" i="15"/>
  <c r="AE302" i="15"/>
  <c r="AF302" i="15" s="1"/>
  <c r="Z302" i="15"/>
  <c r="AA302" i="15" s="1"/>
  <c r="U302" i="15"/>
  <c r="T302" i="15"/>
  <c r="V302" i="15" s="1"/>
  <c r="L302" i="15"/>
  <c r="AE301" i="15"/>
  <c r="AF301" i="15" s="1"/>
  <c r="Z301" i="15"/>
  <c r="AA301" i="15" s="1"/>
  <c r="U301" i="15"/>
  <c r="T301" i="15"/>
  <c r="V301" i="15" s="1"/>
  <c r="L301" i="15"/>
  <c r="AE300" i="15"/>
  <c r="AF300" i="15" s="1"/>
  <c r="Z300" i="15"/>
  <c r="AA300" i="15" s="1"/>
  <c r="U300" i="15"/>
  <c r="T300" i="15"/>
  <c r="V300" i="15" s="1"/>
  <c r="L300" i="15"/>
  <c r="AE299" i="15"/>
  <c r="AF299" i="15" s="1"/>
  <c r="Z299" i="15"/>
  <c r="AA299" i="15" s="1"/>
  <c r="U299" i="15"/>
  <c r="T299" i="15"/>
  <c r="V299" i="15" s="1"/>
  <c r="L299" i="15"/>
  <c r="AE298" i="15"/>
  <c r="AF298" i="15" s="1"/>
  <c r="Z298" i="15"/>
  <c r="AA298" i="15" s="1"/>
  <c r="U298" i="15"/>
  <c r="T298" i="15"/>
  <c r="V298" i="15" s="1"/>
  <c r="L298" i="15"/>
  <c r="AE297" i="15"/>
  <c r="AF297" i="15" s="1"/>
  <c r="Z297" i="15"/>
  <c r="AA297" i="15" s="1"/>
  <c r="U297" i="15"/>
  <c r="T297" i="15"/>
  <c r="V297" i="15" s="1"/>
  <c r="L297" i="15"/>
  <c r="AE296" i="15"/>
  <c r="AF296" i="15" s="1"/>
  <c r="Z296" i="15"/>
  <c r="AA296" i="15" s="1"/>
  <c r="U296" i="15"/>
  <c r="T296" i="15"/>
  <c r="V296" i="15" s="1"/>
  <c r="L296" i="15"/>
  <c r="AE295" i="15"/>
  <c r="AF295" i="15" s="1"/>
  <c r="Z295" i="15"/>
  <c r="AA295" i="15" s="1"/>
  <c r="U295" i="15"/>
  <c r="T295" i="15"/>
  <c r="V295" i="15" s="1"/>
  <c r="L295" i="15"/>
  <c r="AE294" i="15"/>
  <c r="AF294" i="15" s="1"/>
  <c r="Z294" i="15"/>
  <c r="AA294" i="15" s="1"/>
  <c r="U294" i="15"/>
  <c r="T294" i="15"/>
  <c r="V294" i="15" s="1"/>
  <c r="L294" i="15"/>
  <c r="AE293" i="15"/>
  <c r="AF293" i="15" s="1"/>
  <c r="Z293" i="15"/>
  <c r="AA293" i="15" s="1"/>
  <c r="U293" i="15"/>
  <c r="T293" i="15"/>
  <c r="V293" i="15" s="1"/>
  <c r="L293" i="15"/>
  <c r="AE292" i="15"/>
  <c r="AF292" i="15" s="1"/>
  <c r="Z292" i="15"/>
  <c r="AA292" i="15" s="1"/>
  <c r="U292" i="15"/>
  <c r="T292" i="15"/>
  <c r="V292" i="15" s="1"/>
  <c r="L292" i="15"/>
  <c r="AE291" i="15"/>
  <c r="AF291" i="15" s="1"/>
  <c r="Z291" i="15"/>
  <c r="AA291" i="15" s="1"/>
  <c r="U291" i="15"/>
  <c r="T291" i="15"/>
  <c r="V291" i="15" s="1"/>
  <c r="L291" i="15"/>
  <c r="AE290" i="15"/>
  <c r="AF290" i="15" s="1"/>
  <c r="Z290" i="15"/>
  <c r="AA290" i="15" s="1"/>
  <c r="U290" i="15"/>
  <c r="T290" i="15"/>
  <c r="V290" i="15" s="1"/>
  <c r="L290" i="15"/>
  <c r="AE289" i="15"/>
  <c r="AF289" i="15" s="1"/>
  <c r="Z289" i="15"/>
  <c r="AA289" i="15" s="1"/>
  <c r="U289" i="15"/>
  <c r="T289" i="15"/>
  <c r="V289" i="15" s="1"/>
  <c r="L289" i="15"/>
  <c r="AE288" i="15"/>
  <c r="AF288" i="15" s="1"/>
  <c r="Z288" i="15"/>
  <c r="AA288" i="15" s="1"/>
  <c r="U288" i="15"/>
  <c r="T288" i="15"/>
  <c r="V288" i="15" s="1"/>
  <c r="L288" i="15"/>
  <c r="AE287" i="15"/>
  <c r="AF287" i="15" s="1"/>
  <c r="Z287" i="15"/>
  <c r="AA287" i="15" s="1"/>
  <c r="U287" i="15"/>
  <c r="T287" i="15"/>
  <c r="V287" i="15" s="1"/>
  <c r="L287" i="15"/>
  <c r="AE286" i="15"/>
  <c r="AF286" i="15" s="1"/>
  <c r="Z286" i="15"/>
  <c r="AA286" i="15" s="1"/>
  <c r="U286" i="15"/>
  <c r="T286" i="15"/>
  <c r="V286" i="15" s="1"/>
  <c r="L286" i="15"/>
  <c r="AE285" i="15"/>
  <c r="AF285" i="15" s="1"/>
  <c r="Z285" i="15"/>
  <c r="AA285" i="15" s="1"/>
  <c r="U285" i="15"/>
  <c r="T285" i="15"/>
  <c r="V285" i="15" s="1"/>
  <c r="L285" i="15"/>
  <c r="AE284" i="15"/>
  <c r="AF284" i="15" s="1"/>
  <c r="Z284" i="15"/>
  <c r="AA284" i="15" s="1"/>
  <c r="U284" i="15"/>
  <c r="T284" i="15"/>
  <c r="V284" i="15" s="1"/>
  <c r="L284" i="15"/>
  <c r="AE283" i="15"/>
  <c r="AF283" i="15" s="1"/>
  <c r="Z283" i="15"/>
  <c r="AA283" i="15" s="1"/>
  <c r="U283" i="15"/>
  <c r="T283" i="15"/>
  <c r="V283" i="15" s="1"/>
  <c r="L283" i="15"/>
  <c r="AE282" i="15"/>
  <c r="AF282" i="15" s="1"/>
  <c r="Z282" i="15"/>
  <c r="AA282" i="15" s="1"/>
  <c r="U282" i="15"/>
  <c r="T282" i="15"/>
  <c r="V282" i="15" s="1"/>
  <c r="L282" i="15"/>
  <c r="AE281" i="15"/>
  <c r="AF281" i="15" s="1"/>
  <c r="Z281" i="15"/>
  <c r="AA281" i="15" s="1"/>
  <c r="U281" i="15"/>
  <c r="T281" i="15"/>
  <c r="V281" i="15" s="1"/>
  <c r="L281" i="15"/>
  <c r="AE280" i="15"/>
  <c r="AF280" i="15" s="1"/>
  <c r="Z280" i="15"/>
  <c r="AA280" i="15" s="1"/>
  <c r="U280" i="15"/>
  <c r="T280" i="15"/>
  <c r="V280" i="15" s="1"/>
  <c r="L280" i="15"/>
  <c r="AE279" i="15"/>
  <c r="AF279" i="15" s="1"/>
  <c r="Z279" i="15"/>
  <c r="AA279" i="15" s="1"/>
  <c r="U279" i="15"/>
  <c r="T279" i="15"/>
  <c r="V279" i="15" s="1"/>
  <c r="L279" i="15"/>
  <c r="AE278" i="15"/>
  <c r="AF278" i="15" s="1"/>
  <c r="Z278" i="15"/>
  <c r="AA278" i="15" s="1"/>
  <c r="U278" i="15"/>
  <c r="T278" i="15"/>
  <c r="V278" i="15" s="1"/>
  <c r="L278" i="15"/>
  <c r="AE277" i="15"/>
  <c r="AF277" i="15" s="1"/>
  <c r="Z277" i="15"/>
  <c r="AA277" i="15" s="1"/>
  <c r="U277" i="15"/>
  <c r="T277" i="15"/>
  <c r="V277" i="15" s="1"/>
  <c r="L277" i="15"/>
  <c r="AE276" i="15"/>
  <c r="AF276" i="15" s="1"/>
  <c r="Z276" i="15"/>
  <c r="AA276" i="15" s="1"/>
  <c r="U276" i="15"/>
  <c r="T276" i="15"/>
  <c r="V276" i="15" s="1"/>
  <c r="L276" i="15"/>
  <c r="AE275" i="15"/>
  <c r="AF275" i="15" s="1"/>
  <c r="Z275" i="15"/>
  <c r="AA275" i="15" s="1"/>
  <c r="U275" i="15"/>
  <c r="T275" i="15"/>
  <c r="V275" i="15" s="1"/>
  <c r="L275" i="15"/>
  <c r="AE274" i="15"/>
  <c r="AF274" i="15" s="1"/>
  <c r="Z274" i="15"/>
  <c r="AA274" i="15" s="1"/>
  <c r="U274" i="15"/>
  <c r="T274" i="15"/>
  <c r="V274" i="15" s="1"/>
  <c r="L274" i="15"/>
  <c r="AE273" i="15"/>
  <c r="AF273" i="15" s="1"/>
  <c r="Z273" i="15"/>
  <c r="AA273" i="15" s="1"/>
  <c r="U273" i="15"/>
  <c r="T273" i="15"/>
  <c r="V273" i="15" s="1"/>
  <c r="L273" i="15"/>
  <c r="AE272" i="15"/>
  <c r="AF272" i="15" s="1"/>
  <c r="Z272" i="15"/>
  <c r="AA272" i="15" s="1"/>
  <c r="U272" i="15"/>
  <c r="T272" i="15"/>
  <c r="V272" i="15" s="1"/>
  <c r="L272" i="15"/>
  <c r="AE271" i="15"/>
  <c r="AF271" i="15" s="1"/>
  <c r="Z271" i="15"/>
  <c r="AA271" i="15" s="1"/>
  <c r="U271" i="15"/>
  <c r="T271" i="15"/>
  <c r="V271" i="15" s="1"/>
  <c r="L271" i="15"/>
  <c r="AE270" i="15"/>
  <c r="AF270" i="15" s="1"/>
  <c r="Z270" i="15"/>
  <c r="AA270" i="15" s="1"/>
  <c r="U270" i="15"/>
  <c r="T270" i="15"/>
  <c r="V270" i="15" s="1"/>
  <c r="L270" i="15"/>
  <c r="AE269" i="15"/>
  <c r="AF269" i="15" s="1"/>
  <c r="Z269" i="15"/>
  <c r="AA269" i="15" s="1"/>
  <c r="U269" i="15"/>
  <c r="T269" i="15"/>
  <c r="V269" i="15" s="1"/>
  <c r="L269" i="15"/>
  <c r="AE268" i="15"/>
  <c r="AF268" i="15" s="1"/>
  <c r="Z268" i="15"/>
  <c r="AA268" i="15" s="1"/>
  <c r="U268" i="15"/>
  <c r="T268" i="15"/>
  <c r="V268" i="15" s="1"/>
  <c r="L268" i="15"/>
  <c r="AE267" i="15"/>
  <c r="AF267" i="15" s="1"/>
  <c r="Z267" i="15"/>
  <c r="AA267" i="15" s="1"/>
  <c r="U267" i="15"/>
  <c r="T267" i="15"/>
  <c r="V267" i="15" s="1"/>
  <c r="L267" i="15"/>
  <c r="AE266" i="15"/>
  <c r="AF266" i="15" s="1"/>
  <c r="Z266" i="15"/>
  <c r="AA266" i="15" s="1"/>
  <c r="U266" i="15"/>
  <c r="T266" i="15"/>
  <c r="V266" i="15" s="1"/>
  <c r="L266" i="15"/>
  <c r="AE265" i="15"/>
  <c r="AF265" i="15" s="1"/>
  <c r="Z265" i="15"/>
  <c r="AA265" i="15" s="1"/>
  <c r="U265" i="15"/>
  <c r="T265" i="15"/>
  <c r="V265" i="15" s="1"/>
  <c r="L265" i="15"/>
  <c r="AE264" i="15"/>
  <c r="AF264" i="15" s="1"/>
  <c r="Z264" i="15"/>
  <c r="AA264" i="15" s="1"/>
  <c r="U264" i="15"/>
  <c r="T264" i="15"/>
  <c r="V264" i="15" s="1"/>
  <c r="L264" i="15"/>
  <c r="AE263" i="15"/>
  <c r="AF263" i="15" s="1"/>
  <c r="Z263" i="15"/>
  <c r="AA263" i="15" s="1"/>
  <c r="U263" i="15"/>
  <c r="T263" i="15"/>
  <c r="V263" i="15" s="1"/>
  <c r="L263" i="15"/>
  <c r="AE262" i="15"/>
  <c r="AF262" i="15" s="1"/>
  <c r="Z262" i="15"/>
  <c r="AA262" i="15" s="1"/>
  <c r="U262" i="15"/>
  <c r="T262" i="15"/>
  <c r="V262" i="15" s="1"/>
  <c r="L262" i="15"/>
  <c r="AE261" i="15"/>
  <c r="AF261" i="15" s="1"/>
  <c r="Z261" i="15"/>
  <c r="AA261" i="15" s="1"/>
  <c r="U261" i="15"/>
  <c r="T261" i="15"/>
  <c r="V261" i="15" s="1"/>
  <c r="L261" i="15"/>
  <c r="AE260" i="15"/>
  <c r="AF260" i="15" s="1"/>
  <c r="Z260" i="15"/>
  <c r="AA260" i="15" s="1"/>
  <c r="U260" i="15"/>
  <c r="T260" i="15"/>
  <c r="V260" i="15" s="1"/>
  <c r="L260" i="15"/>
  <c r="AE259" i="15"/>
  <c r="AF259" i="15" s="1"/>
  <c r="Z259" i="15"/>
  <c r="AA259" i="15" s="1"/>
  <c r="U259" i="15"/>
  <c r="T259" i="15"/>
  <c r="V259" i="15" s="1"/>
  <c r="L259" i="15"/>
  <c r="AE258" i="15"/>
  <c r="AF258" i="15" s="1"/>
  <c r="Z258" i="15"/>
  <c r="AA258" i="15" s="1"/>
  <c r="U258" i="15"/>
  <c r="T258" i="15"/>
  <c r="V258" i="15" s="1"/>
  <c r="L258" i="15"/>
  <c r="AE257" i="15"/>
  <c r="AF257" i="15" s="1"/>
  <c r="Z257" i="15"/>
  <c r="AA257" i="15" s="1"/>
  <c r="U257" i="15"/>
  <c r="T257" i="15"/>
  <c r="V257" i="15" s="1"/>
  <c r="L257" i="15"/>
  <c r="AE256" i="15"/>
  <c r="AF256" i="15" s="1"/>
  <c r="Z256" i="15"/>
  <c r="AA256" i="15" s="1"/>
  <c r="U256" i="15"/>
  <c r="T256" i="15"/>
  <c r="V256" i="15" s="1"/>
  <c r="L256" i="15"/>
  <c r="AE255" i="15"/>
  <c r="AF255" i="15" s="1"/>
  <c r="Z255" i="15"/>
  <c r="AA255" i="15" s="1"/>
  <c r="U255" i="15"/>
  <c r="T255" i="15"/>
  <c r="V255" i="15" s="1"/>
  <c r="L255" i="15"/>
  <c r="AE254" i="15"/>
  <c r="AF254" i="15" s="1"/>
  <c r="Z254" i="15"/>
  <c r="AA254" i="15" s="1"/>
  <c r="U254" i="15"/>
  <c r="T254" i="15"/>
  <c r="V254" i="15" s="1"/>
  <c r="L254" i="15"/>
  <c r="AE253" i="15"/>
  <c r="AF253" i="15" s="1"/>
  <c r="Z253" i="15"/>
  <c r="AA253" i="15" s="1"/>
  <c r="U253" i="15"/>
  <c r="T253" i="15"/>
  <c r="V253" i="15" s="1"/>
  <c r="L253" i="15"/>
  <c r="AE252" i="15"/>
  <c r="AF252" i="15" s="1"/>
  <c r="Z252" i="15"/>
  <c r="AA252" i="15" s="1"/>
  <c r="U252" i="15"/>
  <c r="T252" i="15"/>
  <c r="V252" i="15" s="1"/>
  <c r="L252" i="15"/>
  <c r="AE251" i="15"/>
  <c r="AF251" i="15" s="1"/>
  <c r="Z251" i="15"/>
  <c r="AA251" i="15" s="1"/>
  <c r="U251" i="15"/>
  <c r="T251" i="15"/>
  <c r="V251" i="15" s="1"/>
  <c r="L251" i="15"/>
  <c r="AE250" i="15"/>
  <c r="AF250" i="15" s="1"/>
  <c r="Z250" i="15"/>
  <c r="AA250" i="15" s="1"/>
  <c r="U250" i="15"/>
  <c r="T250" i="15"/>
  <c r="V250" i="15" s="1"/>
  <c r="L250" i="15"/>
  <c r="AE249" i="15"/>
  <c r="AF249" i="15" s="1"/>
  <c r="Z249" i="15"/>
  <c r="AA249" i="15" s="1"/>
  <c r="U249" i="15"/>
  <c r="T249" i="15"/>
  <c r="V249" i="15" s="1"/>
  <c r="L249" i="15"/>
  <c r="AE248" i="15"/>
  <c r="AF248" i="15" s="1"/>
  <c r="Z248" i="15"/>
  <c r="AA248" i="15" s="1"/>
  <c r="U248" i="15"/>
  <c r="T248" i="15"/>
  <c r="V248" i="15" s="1"/>
  <c r="L248" i="15"/>
  <c r="AE247" i="15"/>
  <c r="AF247" i="15" s="1"/>
  <c r="Z247" i="15"/>
  <c r="AA247" i="15" s="1"/>
  <c r="U247" i="15"/>
  <c r="T247" i="15"/>
  <c r="V247" i="15" s="1"/>
  <c r="L247" i="15"/>
  <c r="AE246" i="15"/>
  <c r="AF246" i="15" s="1"/>
  <c r="Z246" i="15"/>
  <c r="AA246" i="15" s="1"/>
  <c r="U246" i="15"/>
  <c r="T246" i="15"/>
  <c r="V246" i="15" s="1"/>
  <c r="L246" i="15"/>
  <c r="AE245" i="15"/>
  <c r="AF245" i="15" s="1"/>
  <c r="Z245" i="15"/>
  <c r="AA245" i="15" s="1"/>
  <c r="U245" i="15"/>
  <c r="T245" i="15"/>
  <c r="V245" i="15" s="1"/>
  <c r="L245" i="15"/>
  <c r="AE244" i="15"/>
  <c r="AF244" i="15" s="1"/>
  <c r="Z244" i="15"/>
  <c r="AA244" i="15" s="1"/>
  <c r="U244" i="15"/>
  <c r="T244" i="15"/>
  <c r="V244" i="15" s="1"/>
  <c r="L244" i="15"/>
  <c r="AE243" i="15"/>
  <c r="AF243" i="15" s="1"/>
  <c r="Z243" i="15"/>
  <c r="AA243" i="15" s="1"/>
  <c r="U243" i="15"/>
  <c r="T243" i="15"/>
  <c r="V243" i="15" s="1"/>
  <c r="L243" i="15"/>
  <c r="AE242" i="15"/>
  <c r="AF242" i="15" s="1"/>
  <c r="Z242" i="15"/>
  <c r="AA242" i="15" s="1"/>
  <c r="U242" i="15"/>
  <c r="T242" i="15"/>
  <c r="V242" i="15" s="1"/>
  <c r="L242" i="15"/>
  <c r="AE241" i="15"/>
  <c r="AF241" i="15" s="1"/>
  <c r="Z241" i="15"/>
  <c r="AA241" i="15" s="1"/>
  <c r="U241" i="15"/>
  <c r="T241" i="15"/>
  <c r="V241" i="15" s="1"/>
  <c r="L241" i="15"/>
  <c r="AE240" i="15"/>
  <c r="AF240" i="15" s="1"/>
  <c r="Z240" i="15"/>
  <c r="AA240" i="15" s="1"/>
  <c r="U240" i="15"/>
  <c r="T240" i="15"/>
  <c r="V240" i="15" s="1"/>
  <c r="L240" i="15"/>
  <c r="AE239" i="15"/>
  <c r="AF239" i="15" s="1"/>
  <c r="Z239" i="15"/>
  <c r="AA239" i="15" s="1"/>
  <c r="U239" i="15"/>
  <c r="T239" i="15"/>
  <c r="V239" i="15" s="1"/>
  <c r="L239" i="15"/>
  <c r="AE238" i="15"/>
  <c r="AF238" i="15" s="1"/>
  <c r="Z238" i="15"/>
  <c r="AA238" i="15" s="1"/>
  <c r="U238" i="15"/>
  <c r="T238" i="15"/>
  <c r="V238" i="15" s="1"/>
  <c r="L238" i="15"/>
  <c r="AE237" i="15"/>
  <c r="AF237" i="15" s="1"/>
  <c r="Z237" i="15"/>
  <c r="AA237" i="15" s="1"/>
  <c r="U237" i="15"/>
  <c r="T237" i="15"/>
  <c r="V237" i="15" s="1"/>
  <c r="L237" i="15"/>
  <c r="AE236" i="15"/>
  <c r="AF236" i="15" s="1"/>
  <c r="Z236" i="15"/>
  <c r="AA236" i="15" s="1"/>
  <c r="U236" i="15"/>
  <c r="T236" i="15"/>
  <c r="V236" i="15" s="1"/>
  <c r="L236" i="15"/>
  <c r="AE235" i="15"/>
  <c r="AF235" i="15" s="1"/>
  <c r="Z235" i="15"/>
  <c r="AA235" i="15" s="1"/>
  <c r="U235" i="15"/>
  <c r="T235" i="15"/>
  <c r="V235" i="15" s="1"/>
  <c r="L235" i="15"/>
  <c r="AE234" i="15"/>
  <c r="AF234" i="15" s="1"/>
  <c r="Z234" i="15"/>
  <c r="AA234" i="15" s="1"/>
  <c r="U234" i="15"/>
  <c r="T234" i="15"/>
  <c r="V234" i="15" s="1"/>
  <c r="L234" i="15"/>
  <c r="AE233" i="15"/>
  <c r="AF233" i="15" s="1"/>
  <c r="Z233" i="15"/>
  <c r="AA233" i="15" s="1"/>
  <c r="U233" i="15"/>
  <c r="T233" i="15"/>
  <c r="V233" i="15" s="1"/>
  <c r="L233" i="15"/>
  <c r="AE232" i="15"/>
  <c r="AF232" i="15" s="1"/>
  <c r="Z232" i="15"/>
  <c r="AA232" i="15" s="1"/>
  <c r="U232" i="15"/>
  <c r="T232" i="15"/>
  <c r="V232" i="15" s="1"/>
  <c r="L232" i="15"/>
  <c r="AE231" i="15"/>
  <c r="AF231" i="15" s="1"/>
  <c r="Z231" i="15"/>
  <c r="AA231" i="15" s="1"/>
  <c r="U231" i="15"/>
  <c r="T231" i="15"/>
  <c r="V231" i="15" s="1"/>
  <c r="L231" i="15"/>
  <c r="AE230" i="15"/>
  <c r="AF230" i="15" s="1"/>
  <c r="Z230" i="15"/>
  <c r="AA230" i="15" s="1"/>
  <c r="U230" i="15"/>
  <c r="T230" i="15"/>
  <c r="V230" i="15" s="1"/>
  <c r="L230" i="15"/>
  <c r="AE229" i="15"/>
  <c r="AF229" i="15" s="1"/>
  <c r="Z229" i="15"/>
  <c r="AA229" i="15" s="1"/>
  <c r="U229" i="15"/>
  <c r="T229" i="15"/>
  <c r="V229" i="15" s="1"/>
  <c r="L229" i="15"/>
  <c r="AE228" i="15"/>
  <c r="AF228" i="15" s="1"/>
  <c r="Z228" i="15"/>
  <c r="AA228" i="15" s="1"/>
  <c r="U228" i="15"/>
  <c r="T228" i="15"/>
  <c r="V228" i="15" s="1"/>
  <c r="L228" i="15"/>
  <c r="AE227" i="15"/>
  <c r="AF227" i="15" s="1"/>
  <c r="Z227" i="15"/>
  <c r="AA227" i="15" s="1"/>
  <c r="U227" i="15"/>
  <c r="T227" i="15"/>
  <c r="V227" i="15" s="1"/>
  <c r="L227" i="15"/>
  <c r="AE226" i="15"/>
  <c r="AF226" i="15" s="1"/>
  <c r="Z226" i="15"/>
  <c r="AA226" i="15" s="1"/>
  <c r="U226" i="15"/>
  <c r="T226" i="15"/>
  <c r="V226" i="15" s="1"/>
  <c r="L226" i="15"/>
  <c r="AE225" i="15"/>
  <c r="AF225" i="15" s="1"/>
  <c r="Z225" i="15"/>
  <c r="AA225" i="15" s="1"/>
  <c r="U225" i="15"/>
  <c r="T225" i="15"/>
  <c r="V225" i="15" s="1"/>
  <c r="L225" i="15"/>
  <c r="AE224" i="15"/>
  <c r="AF224" i="15" s="1"/>
  <c r="Z224" i="15"/>
  <c r="AA224" i="15" s="1"/>
  <c r="U224" i="15"/>
  <c r="T224" i="15"/>
  <c r="V224" i="15" s="1"/>
  <c r="L224" i="15"/>
  <c r="AE223" i="15"/>
  <c r="AF223" i="15" s="1"/>
  <c r="Z223" i="15"/>
  <c r="AA223" i="15" s="1"/>
  <c r="U223" i="15"/>
  <c r="T223" i="15"/>
  <c r="V223" i="15" s="1"/>
  <c r="L223" i="15"/>
  <c r="AE222" i="15"/>
  <c r="AF222" i="15" s="1"/>
  <c r="Z222" i="15"/>
  <c r="AA222" i="15" s="1"/>
  <c r="U222" i="15"/>
  <c r="T222" i="15"/>
  <c r="V222" i="15" s="1"/>
  <c r="L222" i="15"/>
  <c r="AE221" i="15"/>
  <c r="AF221" i="15" s="1"/>
  <c r="Z221" i="15"/>
  <c r="AA221" i="15" s="1"/>
  <c r="U221" i="15"/>
  <c r="T221" i="15"/>
  <c r="V221" i="15" s="1"/>
  <c r="L221" i="15"/>
  <c r="AE220" i="15"/>
  <c r="AF220" i="15" s="1"/>
  <c r="Z220" i="15"/>
  <c r="AA220" i="15" s="1"/>
  <c r="U220" i="15"/>
  <c r="T220" i="15"/>
  <c r="V220" i="15" s="1"/>
  <c r="L220" i="15"/>
  <c r="AE219" i="15"/>
  <c r="AF219" i="15" s="1"/>
  <c r="Z219" i="15"/>
  <c r="AA219" i="15" s="1"/>
  <c r="U219" i="15"/>
  <c r="T219" i="15"/>
  <c r="V219" i="15" s="1"/>
  <c r="L219" i="15"/>
  <c r="AE218" i="15"/>
  <c r="AF218" i="15" s="1"/>
  <c r="Z218" i="15"/>
  <c r="AA218" i="15" s="1"/>
  <c r="U218" i="15"/>
  <c r="T218" i="15"/>
  <c r="V218" i="15" s="1"/>
  <c r="L218" i="15"/>
  <c r="AE217" i="15"/>
  <c r="AF217" i="15" s="1"/>
  <c r="Z217" i="15"/>
  <c r="AA217" i="15" s="1"/>
  <c r="U217" i="15"/>
  <c r="T217" i="15"/>
  <c r="V217" i="15" s="1"/>
  <c r="L217" i="15"/>
  <c r="AE216" i="15"/>
  <c r="AF216" i="15" s="1"/>
  <c r="Z216" i="15"/>
  <c r="AA216" i="15" s="1"/>
  <c r="U216" i="15"/>
  <c r="T216" i="15"/>
  <c r="V216" i="15" s="1"/>
  <c r="L216" i="15"/>
  <c r="AE215" i="15"/>
  <c r="AF215" i="15" s="1"/>
  <c r="Z215" i="15"/>
  <c r="AA215" i="15" s="1"/>
  <c r="U215" i="15"/>
  <c r="T215" i="15"/>
  <c r="V215" i="15" s="1"/>
  <c r="L215" i="15"/>
  <c r="AE214" i="15"/>
  <c r="AF214" i="15" s="1"/>
  <c r="Z214" i="15"/>
  <c r="AA214" i="15" s="1"/>
  <c r="U214" i="15"/>
  <c r="T214" i="15"/>
  <c r="V214" i="15" s="1"/>
  <c r="L214" i="15"/>
  <c r="AE213" i="15"/>
  <c r="AF213" i="15" s="1"/>
  <c r="Z213" i="15"/>
  <c r="AA213" i="15" s="1"/>
  <c r="U213" i="15"/>
  <c r="T213" i="15"/>
  <c r="V213" i="15" s="1"/>
  <c r="L213" i="15"/>
  <c r="AE212" i="15"/>
  <c r="AF212" i="15" s="1"/>
  <c r="Z212" i="15"/>
  <c r="AA212" i="15" s="1"/>
  <c r="U212" i="15"/>
  <c r="T212" i="15"/>
  <c r="V212" i="15" s="1"/>
  <c r="L212" i="15"/>
  <c r="AE211" i="15"/>
  <c r="AF211" i="15" s="1"/>
  <c r="Z211" i="15"/>
  <c r="AA211" i="15" s="1"/>
  <c r="U211" i="15"/>
  <c r="T211" i="15"/>
  <c r="V211" i="15" s="1"/>
  <c r="L211" i="15"/>
  <c r="AE210" i="15"/>
  <c r="AF210" i="15" s="1"/>
  <c r="Z210" i="15"/>
  <c r="AA210" i="15" s="1"/>
  <c r="U210" i="15"/>
  <c r="T210" i="15"/>
  <c r="V210" i="15" s="1"/>
  <c r="L210" i="15"/>
  <c r="AE209" i="15"/>
  <c r="AF209" i="15" s="1"/>
  <c r="Z209" i="15"/>
  <c r="AA209" i="15" s="1"/>
  <c r="U209" i="15"/>
  <c r="T209" i="15"/>
  <c r="V209" i="15" s="1"/>
  <c r="L209" i="15"/>
  <c r="AE208" i="15"/>
  <c r="AF208" i="15" s="1"/>
  <c r="Z208" i="15"/>
  <c r="AA208" i="15" s="1"/>
  <c r="U208" i="15"/>
  <c r="T208" i="15"/>
  <c r="V208" i="15" s="1"/>
  <c r="L208" i="15"/>
  <c r="AE207" i="15"/>
  <c r="AF207" i="15" s="1"/>
  <c r="Z207" i="15"/>
  <c r="AA207" i="15" s="1"/>
  <c r="U207" i="15"/>
  <c r="T207" i="15"/>
  <c r="V207" i="15" s="1"/>
  <c r="L207" i="15"/>
  <c r="AE206" i="15"/>
  <c r="AF206" i="15" s="1"/>
  <c r="Z206" i="15"/>
  <c r="AA206" i="15" s="1"/>
  <c r="U206" i="15"/>
  <c r="T206" i="15"/>
  <c r="V206" i="15" s="1"/>
  <c r="L206" i="15"/>
  <c r="AE205" i="15"/>
  <c r="AF205" i="15" s="1"/>
  <c r="Z205" i="15"/>
  <c r="AA205" i="15" s="1"/>
  <c r="U205" i="15"/>
  <c r="T205" i="15"/>
  <c r="V205" i="15" s="1"/>
  <c r="L205" i="15"/>
  <c r="AE204" i="15"/>
  <c r="AF204" i="15" s="1"/>
  <c r="Z204" i="15"/>
  <c r="AA204" i="15" s="1"/>
  <c r="U204" i="15"/>
  <c r="T204" i="15"/>
  <c r="V204" i="15" s="1"/>
  <c r="L204" i="15"/>
  <c r="AE203" i="15"/>
  <c r="AF203" i="15" s="1"/>
  <c r="Z203" i="15"/>
  <c r="AA203" i="15" s="1"/>
  <c r="U203" i="15"/>
  <c r="T203" i="15"/>
  <c r="V203" i="15" s="1"/>
  <c r="L203" i="15"/>
  <c r="AE202" i="15"/>
  <c r="AF202" i="15" s="1"/>
  <c r="Z202" i="15"/>
  <c r="AA202" i="15" s="1"/>
  <c r="U202" i="15"/>
  <c r="T202" i="15"/>
  <c r="V202" i="15" s="1"/>
  <c r="L202" i="15"/>
  <c r="AE201" i="15"/>
  <c r="AF201" i="15" s="1"/>
  <c r="Z201" i="15"/>
  <c r="AA201" i="15" s="1"/>
  <c r="U201" i="15"/>
  <c r="T201" i="15"/>
  <c r="V201" i="15" s="1"/>
  <c r="L201" i="15"/>
  <c r="AE200" i="15"/>
  <c r="AF200" i="15" s="1"/>
  <c r="Z200" i="15"/>
  <c r="AA200" i="15" s="1"/>
  <c r="U200" i="15"/>
  <c r="T200" i="15"/>
  <c r="V200" i="15" s="1"/>
  <c r="L200" i="15"/>
  <c r="AE199" i="15"/>
  <c r="AF199" i="15" s="1"/>
  <c r="Z199" i="15"/>
  <c r="AA199" i="15" s="1"/>
  <c r="U199" i="15"/>
  <c r="T199" i="15"/>
  <c r="V199" i="15" s="1"/>
  <c r="L199" i="15"/>
  <c r="AE198" i="15"/>
  <c r="AF198" i="15" s="1"/>
  <c r="Z198" i="15"/>
  <c r="AA198" i="15" s="1"/>
  <c r="U198" i="15"/>
  <c r="T198" i="15"/>
  <c r="V198" i="15" s="1"/>
  <c r="L198" i="15"/>
  <c r="AE197" i="15"/>
  <c r="AF197" i="15" s="1"/>
  <c r="Z197" i="15"/>
  <c r="AA197" i="15" s="1"/>
  <c r="U197" i="15"/>
  <c r="T197" i="15"/>
  <c r="V197" i="15" s="1"/>
  <c r="L197" i="15"/>
  <c r="AE196" i="15"/>
  <c r="AF196" i="15" s="1"/>
  <c r="Z196" i="15"/>
  <c r="AA196" i="15" s="1"/>
  <c r="U196" i="15"/>
  <c r="T196" i="15"/>
  <c r="V196" i="15" s="1"/>
  <c r="L196" i="15"/>
  <c r="AE195" i="15"/>
  <c r="AF195" i="15" s="1"/>
  <c r="Z195" i="15"/>
  <c r="AA195" i="15" s="1"/>
  <c r="U195" i="15"/>
  <c r="T195" i="15"/>
  <c r="V195" i="15" s="1"/>
  <c r="L195" i="15"/>
  <c r="AE194" i="15"/>
  <c r="AF194" i="15" s="1"/>
  <c r="Z194" i="15"/>
  <c r="AA194" i="15" s="1"/>
  <c r="U194" i="15"/>
  <c r="T194" i="15"/>
  <c r="V194" i="15" s="1"/>
  <c r="L194" i="15"/>
  <c r="AE193" i="15"/>
  <c r="AF193" i="15" s="1"/>
  <c r="Z193" i="15"/>
  <c r="AA193" i="15" s="1"/>
  <c r="U193" i="15"/>
  <c r="T193" i="15"/>
  <c r="V193" i="15" s="1"/>
  <c r="L193" i="15"/>
  <c r="AE192" i="15"/>
  <c r="AF192" i="15" s="1"/>
  <c r="Z192" i="15"/>
  <c r="AA192" i="15" s="1"/>
  <c r="U192" i="15"/>
  <c r="T192" i="15"/>
  <c r="V192" i="15" s="1"/>
  <c r="L192" i="15"/>
  <c r="AE191" i="15"/>
  <c r="AF191" i="15" s="1"/>
  <c r="Z191" i="15"/>
  <c r="AA191" i="15" s="1"/>
  <c r="U191" i="15"/>
  <c r="T191" i="15"/>
  <c r="V191" i="15" s="1"/>
  <c r="L191" i="15"/>
  <c r="AE190" i="15"/>
  <c r="AF190" i="15" s="1"/>
  <c r="Z190" i="15"/>
  <c r="AA190" i="15" s="1"/>
  <c r="U190" i="15"/>
  <c r="T190" i="15"/>
  <c r="V190" i="15" s="1"/>
  <c r="L190" i="15"/>
  <c r="AE189" i="15"/>
  <c r="AF189" i="15" s="1"/>
  <c r="Z189" i="15"/>
  <c r="AA189" i="15" s="1"/>
  <c r="U189" i="15"/>
  <c r="T189" i="15"/>
  <c r="V189" i="15" s="1"/>
  <c r="L189" i="15"/>
  <c r="AE188" i="15"/>
  <c r="AF188" i="15" s="1"/>
  <c r="Z188" i="15"/>
  <c r="AA188" i="15" s="1"/>
  <c r="U188" i="15"/>
  <c r="T188" i="15"/>
  <c r="V188" i="15" s="1"/>
  <c r="L188" i="15"/>
  <c r="AE187" i="15"/>
  <c r="AF187" i="15" s="1"/>
  <c r="Z187" i="15"/>
  <c r="AA187" i="15" s="1"/>
  <c r="U187" i="15"/>
  <c r="T187" i="15"/>
  <c r="V187" i="15" s="1"/>
  <c r="L187" i="15"/>
  <c r="AE186" i="15"/>
  <c r="AF186" i="15" s="1"/>
  <c r="Z186" i="15"/>
  <c r="AA186" i="15" s="1"/>
  <c r="U186" i="15"/>
  <c r="T186" i="15"/>
  <c r="V186" i="15" s="1"/>
  <c r="L186" i="15"/>
  <c r="AE185" i="15"/>
  <c r="AF185" i="15" s="1"/>
  <c r="Z185" i="15"/>
  <c r="AA185" i="15" s="1"/>
  <c r="U185" i="15"/>
  <c r="T185" i="15"/>
  <c r="V185" i="15" s="1"/>
  <c r="L185" i="15"/>
  <c r="AE184" i="15"/>
  <c r="AF184" i="15" s="1"/>
  <c r="Z184" i="15"/>
  <c r="AA184" i="15" s="1"/>
  <c r="U184" i="15"/>
  <c r="T184" i="15"/>
  <c r="V184" i="15" s="1"/>
  <c r="L184" i="15"/>
  <c r="AE183" i="15"/>
  <c r="AF183" i="15" s="1"/>
  <c r="Z183" i="15"/>
  <c r="AA183" i="15" s="1"/>
  <c r="U183" i="15"/>
  <c r="T183" i="15"/>
  <c r="V183" i="15" s="1"/>
  <c r="L183" i="15"/>
  <c r="AE182" i="15"/>
  <c r="AF182" i="15" s="1"/>
  <c r="Z182" i="15"/>
  <c r="AA182" i="15" s="1"/>
  <c r="U182" i="15"/>
  <c r="T182" i="15"/>
  <c r="V182" i="15" s="1"/>
  <c r="L182" i="15"/>
  <c r="AE181" i="15"/>
  <c r="AF181" i="15" s="1"/>
  <c r="Z181" i="15"/>
  <c r="AA181" i="15" s="1"/>
  <c r="U181" i="15"/>
  <c r="T181" i="15"/>
  <c r="V181" i="15" s="1"/>
  <c r="L181" i="15"/>
  <c r="AE180" i="15"/>
  <c r="AF180" i="15" s="1"/>
  <c r="Z180" i="15"/>
  <c r="AA180" i="15" s="1"/>
  <c r="U180" i="15"/>
  <c r="T180" i="15"/>
  <c r="V180" i="15" s="1"/>
  <c r="L180" i="15"/>
  <c r="AE179" i="15"/>
  <c r="AF179" i="15" s="1"/>
  <c r="Z179" i="15"/>
  <c r="AA179" i="15" s="1"/>
  <c r="U179" i="15"/>
  <c r="T179" i="15"/>
  <c r="V179" i="15" s="1"/>
  <c r="L179" i="15"/>
  <c r="AE178" i="15"/>
  <c r="AF178" i="15" s="1"/>
  <c r="Z178" i="15"/>
  <c r="AA178" i="15" s="1"/>
  <c r="U178" i="15"/>
  <c r="T178" i="15"/>
  <c r="V178" i="15" s="1"/>
  <c r="L178" i="15"/>
  <c r="AE177" i="15"/>
  <c r="AF177" i="15" s="1"/>
  <c r="Z177" i="15"/>
  <c r="AA177" i="15" s="1"/>
  <c r="U177" i="15"/>
  <c r="T177" i="15"/>
  <c r="V177" i="15" s="1"/>
  <c r="L177" i="15"/>
  <c r="AE176" i="15"/>
  <c r="AF176" i="15" s="1"/>
  <c r="Z176" i="15"/>
  <c r="AA176" i="15" s="1"/>
  <c r="U176" i="15"/>
  <c r="T176" i="15"/>
  <c r="V176" i="15" s="1"/>
  <c r="L176" i="15"/>
  <c r="AE175" i="15"/>
  <c r="AF175" i="15" s="1"/>
  <c r="Z175" i="15"/>
  <c r="AA175" i="15" s="1"/>
  <c r="U175" i="15"/>
  <c r="T175" i="15"/>
  <c r="V175" i="15" s="1"/>
  <c r="L175" i="15"/>
  <c r="AE174" i="15"/>
  <c r="AF174" i="15" s="1"/>
  <c r="Z174" i="15"/>
  <c r="AA174" i="15" s="1"/>
  <c r="U174" i="15"/>
  <c r="T174" i="15"/>
  <c r="V174" i="15" s="1"/>
  <c r="L174" i="15"/>
  <c r="AE173" i="15"/>
  <c r="AF173" i="15" s="1"/>
  <c r="Z173" i="15"/>
  <c r="AA173" i="15" s="1"/>
  <c r="U173" i="15"/>
  <c r="T173" i="15"/>
  <c r="V173" i="15" s="1"/>
  <c r="L173" i="15"/>
  <c r="AE172" i="15"/>
  <c r="AF172" i="15" s="1"/>
  <c r="Z172" i="15"/>
  <c r="AA172" i="15" s="1"/>
  <c r="U172" i="15"/>
  <c r="T172" i="15"/>
  <c r="V172" i="15" s="1"/>
  <c r="L172" i="15"/>
  <c r="AE171" i="15"/>
  <c r="AF171" i="15" s="1"/>
  <c r="Z171" i="15"/>
  <c r="AA171" i="15" s="1"/>
  <c r="U171" i="15"/>
  <c r="T171" i="15"/>
  <c r="V171" i="15" s="1"/>
  <c r="L171" i="15"/>
  <c r="AE170" i="15"/>
  <c r="AF170" i="15" s="1"/>
  <c r="Z170" i="15"/>
  <c r="AA170" i="15" s="1"/>
  <c r="U170" i="15"/>
  <c r="T170" i="15"/>
  <c r="V170" i="15" s="1"/>
  <c r="L170" i="15"/>
  <c r="AE169" i="15"/>
  <c r="AF169" i="15" s="1"/>
  <c r="Z169" i="15"/>
  <c r="AA169" i="15" s="1"/>
  <c r="U169" i="15"/>
  <c r="T169" i="15"/>
  <c r="V169" i="15" s="1"/>
  <c r="L169" i="15"/>
  <c r="AE168" i="15"/>
  <c r="AF168" i="15" s="1"/>
  <c r="Z168" i="15"/>
  <c r="AA168" i="15" s="1"/>
  <c r="U168" i="15"/>
  <c r="T168" i="15"/>
  <c r="V168" i="15" s="1"/>
  <c r="L168" i="15"/>
  <c r="AE167" i="15"/>
  <c r="AF167" i="15" s="1"/>
  <c r="Z167" i="15"/>
  <c r="AA167" i="15" s="1"/>
  <c r="U167" i="15"/>
  <c r="T167" i="15"/>
  <c r="V167" i="15" s="1"/>
  <c r="L167" i="15"/>
  <c r="AE166" i="15"/>
  <c r="AF166" i="15" s="1"/>
  <c r="Z166" i="15"/>
  <c r="AA166" i="15" s="1"/>
  <c r="U166" i="15"/>
  <c r="T166" i="15"/>
  <c r="V166" i="15" s="1"/>
  <c r="L166" i="15"/>
  <c r="AE165" i="15"/>
  <c r="AF165" i="15" s="1"/>
  <c r="Z165" i="15"/>
  <c r="AA165" i="15" s="1"/>
  <c r="U165" i="15"/>
  <c r="T165" i="15"/>
  <c r="V165" i="15" s="1"/>
  <c r="L165" i="15"/>
  <c r="AE164" i="15"/>
  <c r="AF164" i="15" s="1"/>
  <c r="Z164" i="15"/>
  <c r="AA164" i="15" s="1"/>
  <c r="U164" i="15"/>
  <c r="T164" i="15"/>
  <c r="V164" i="15" s="1"/>
  <c r="L164" i="15"/>
  <c r="AE163" i="15"/>
  <c r="AF163" i="15" s="1"/>
  <c r="Z163" i="15"/>
  <c r="AA163" i="15" s="1"/>
  <c r="U163" i="15"/>
  <c r="T163" i="15"/>
  <c r="V163" i="15" s="1"/>
  <c r="L163" i="15"/>
  <c r="AE162" i="15"/>
  <c r="AF162" i="15" s="1"/>
  <c r="Z162" i="15"/>
  <c r="AA162" i="15" s="1"/>
  <c r="U162" i="15"/>
  <c r="T162" i="15"/>
  <c r="V162" i="15" s="1"/>
  <c r="L162" i="15"/>
  <c r="AE161" i="15"/>
  <c r="AF161" i="15" s="1"/>
  <c r="Z161" i="15"/>
  <c r="AA161" i="15" s="1"/>
  <c r="U161" i="15"/>
  <c r="T161" i="15"/>
  <c r="V161" i="15" s="1"/>
  <c r="L161" i="15"/>
  <c r="AE160" i="15"/>
  <c r="AF160" i="15" s="1"/>
  <c r="Z160" i="15"/>
  <c r="AA160" i="15" s="1"/>
  <c r="U160" i="15"/>
  <c r="T160" i="15"/>
  <c r="V160" i="15" s="1"/>
  <c r="L160" i="15"/>
  <c r="AE159" i="15"/>
  <c r="AF159" i="15" s="1"/>
  <c r="Z159" i="15"/>
  <c r="AA159" i="15" s="1"/>
  <c r="U159" i="15"/>
  <c r="T159" i="15"/>
  <c r="V159" i="15" s="1"/>
  <c r="L159" i="15"/>
  <c r="AE158" i="15"/>
  <c r="AF158" i="15" s="1"/>
  <c r="Z158" i="15"/>
  <c r="AA158" i="15" s="1"/>
  <c r="U158" i="15"/>
  <c r="T158" i="15"/>
  <c r="V158" i="15" s="1"/>
  <c r="L158" i="15"/>
  <c r="AE157" i="15"/>
  <c r="AF157" i="15" s="1"/>
  <c r="Z157" i="15"/>
  <c r="AA157" i="15" s="1"/>
  <c r="U157" i="15"/>
  <c r="T157" i="15"/>
  <c r="V157" i="15" s="1"/>
  <c r="L157" i="15"/>
  <c r="AE156" i="15"/>
  <c r="AF156" i="15" s="1"/>
  <c r="Z156" i="15"/>
  <c r="AA156" i="15" s="1"/>
  <c r="U156" i="15"/>
  <c r="T156" i="15"/>
  <c r="V156" i="15" s="1"/>
  <c r="L156" i="15"/>
  <c r="AE155" i="15"/>
  <c r="AF155" i="15" s="1"/>
  <c r="Z155" i="15"/>
  <c r="AA155" i="15" s="1"/>
  <c r="U155" i="15"/>
  <c r="T155" i="15"/>
  <c r="V155" i="15" s="1"/>
  <c r="L155" i="15"/>
  <c r="AE154" i="15"/>
  <c r="AF154" i="15" s="1"/>
  <c r="Z154" i="15"/>
  <c r="AA154" i="15" s="1"/>
  <c r="U154" i="15"/>
  <c r="T154" i="15"/>
  <c r="V154" i="15" s="1"/>
  <c r="L154" i="15"/>
  <c r="AE153" i="15"/>
  <c r="AF153" i="15" s="1"/>
  <c r="Z153" i="15"/>
  <c r="AA153" i="15" s="1"/>
  <c r="U153" i="15"/>
  <c r="T153" i="15"/>
  <c r="V153" i="15" s="1"/>
  <c r="L153" i="15"/>
  <c r="AE152" i="15"/>
  <c r="AF152" i="15" s="1"/>
  <c r="Z152" i="15"/>
  <c r="AA152" i="15" s="1"/>
  <c r="U152" i="15"/>
  <c r="T152" i="15"/>
  <c r="V152" i="15" s="1"/>
  <c r="L152" i="15"/>
  <c r="AE151" i="15"/>
  <c r="AF151" i="15" s="1"/>
  <c r="Z151" i="15"/>
  <c r="AA151" i="15" s="1"/>
  <c r="U151" i="15"/>
  <c r="T151" i="15"/>
  <c r="V151" i="15" s="1"/>
  <c r="L151" i="15"/>
  <c r="AE150" i="15"/>
  <c r="AF150" i="15" s="1"/>
  <c r="Z150" i="15"/>
  <c r="AA150" i="15" s="1"/>
  <c r="U150" i="15"/>
  <c r="T150" i="15"/>
  <c r="V150" i="15" s="1"/>
  <c r="L150" i="15"/>
  <c r="AE149" i="15"/>
  <c r="AF149" i="15" s="1"/>
  <c r="Z149" i="15"/>
  <c r="AA149" i="15" s="1"/>
  <c r="U149" i="15"/>
  <c r="T149" i="15"/>
  <c r="V149" i="15" s="1"/>
  <c r="L149" i="15"/>
  <c r="AE148" i="15"/>
  <c r="AF148" i="15" s="1"/>
  <c r="Z148" i="15"/>
  <c r="AA148" i="15" s="1"/>
  <c r="U148" i="15"/>
  <c r="T148" i="15"/>
  <c r="V148" i="15" s="1"/>
  <c r="L148" i="15"/>
  <c r="AE147" i="15"/>
  <c r="AF147" i="15" s="1"/>
  <c r="Z147" i="15"/>
  <c r="AA147" i="15" s="1"/>
  <c r="U147" i="15"/>
  <c r="T147" i="15"/>
  <c r="V147" i="15" s="1"/>
  <c r="L147" i="15"/>
  <c r="AE146" i="15"/>
  <c r="AF146" i="15" s="1"/>
  <c r="Z146" i="15"/>
  <c r="AA146" i="15" s="1"/>
  <c r="U146" i="15"/>
  <c r="T146" i="15"/>
  <c r="V146" i="15" s="1"/>
  <c r="L146" i="15"/>
  <c r="AE145" i="15"/>
  <c r="AF145" i="15" s="1"/>
  <c r="Z145" i="15"/>
  <c r="AA145" i="15" s="1"/>
  <c r="U145" i="15"/>
  <c r="T145" i="15"/>
  <c r="V145" i="15" s="1"/>
  <c r="L145" i="15"/>
  <c r="AE144" i="15"/>
  <c r="AF144" i="15" s="1"/>
  <c r="Z144" i="15"/>
  <c r="AA144" i="15" s="1"/>
  <c r="U144" i="15"/>
  <c r="T144" i="15"/>
  <c r="V144" i="15" s="1"/>
  <c r="L144" i="15"/>
  <c r="AE143" i="15"/>
  <c r="AF143" i="15" s="1"/>
  <c r="Z143" i="15"/>
  <c r="AA143" i="15" s="1"/>
  <c r="U143" i="15"/>
  <c r="T143" i="15"/>
  <c r="V143" i="15" s="1"/>
  <c r="L143" i="15"/>
  <c r="AE142" i="15"/>
  <c r="AF142" i="15" s="1"/>
  <c r="Z142" i="15"/>
  <c r="AA142" i="15" s="1"/>
  <c r="U142" i="15"/>
  <c r="T142" i="15"/>
  <c r="V142" i="15" s="1"/>
  <c r="L142" i="15"/>
  <c r="AE141" i="15"/>
  <c r="AF141" i="15" s="1"/>
  <c r="Z141" i="15"/>
  <c r="AA141" i="15" s="1"/>
  <c r="U141" i="15"/>
  <c r="T141" i="15"/>
  <c r="V141" i="15" s="1"/>
  <c r="L141" i="15"/>
  <c r="AE140" i="15"/>
  <c r="AF140" i="15" s="1"/>
  <c r="Z140" i="15"/>
  <c r="AA140" i="15" s="1"/>
  <c r="U140" i="15"/>
  <c r="T140" i="15"/>
  <c r="V140" i="15" s="1"/>
  <c r="L140" i="15"/>
  <c r="AE139" i="15"/>
  <c r="AF139" i="15" s="1"/>
  <c r="Z139" i="15"/>
  <c r="AA139" i="15" s="1"/>
  <c r="U139" i="15"/>
  <c r="T139" i="15"/>
  <c r="V139" i="15" s="1"/>
  <c r="L139" i="15"/>
  <c r="AE138" i="15"/>
  <c r="AF138" i="15" s="1"/>
  <c r="Z138" i="15"/>
  <c r="AA138" i="15" s="1"/>
  <c r="U138" i="15"/>
  <c r="T138" i="15"/>
  <c r="V138" i="15" s="1"/>
  <c r="L138" i="15"/>
  <c r="AE137" i="15"/>
  <c r="AF137" i="15" s="1"/>
  <c r="Z137" i="15"/>
  <c r="AA137" i="15" s="1"/>
  <c r="U137" i="15"/>
  <c r="T137" i="15"/>
  <c r="V137" i="15" s="1"/>
  <c r="L137" i="15"/>
  <c r="AE136" i="15"/>
  <c r="AF136" i="15" s="1"/>
  <c r="Z136" i="15"/>
  <c r="AA136" i="15" s="1"/>
  <c r="U136" i="15"/>
  <c r="T136" i="15"/>
  <c r="V136" i="15" s="1"/>
  <c r="L136" i="15"/>
  <c r="AE135" i="15"/>
  <c r="AF135" i="15" s="1"/>
  <c r="Z135" i="15"/>
  <c r="AA135" i="15" s="1"/>
  <c r="U135" i="15"/>
  <c r="T135" i="15"/>
  <c r="V135" i="15" s="1"/>
  <c r="L135" i="15"/>
  <c r="AE134" i="15"/>
  <c r="AF134" i="15" s="1"/>
  <c r="Z134" i="15"/>
  <c r="AA134" i="15" s="1"/>
  <c r="U134" i="15"/>
  <c r="T134" i="15"/>
  <c r="V134" i="15" s="1"/>
  <c r="L134" i="15"/>
  <c r="AE133" i="15"/>
  <c r="AF133" i="15" s="1"/>
  <c r="Z133" i="15"/>
  <c r="AA133" i="15" s="1"/>
  <c r="U133" i="15"/>
  <c r="T133" i="15"/>
  <c r="V133" i="15" s="1"/>
  <c r="L133" i="15"/>
  <c r="AE132" i="15"/>
  <c r="AF132" i="15" s="1"/>
  <c r="Z132" i="15"/>
  <c r="AA132" i="15" s="1"/>
  <c r="U132" i="15"/>
  <c r="T132" i="15"/>
  <c r="V132" i="15" s="1"/>
  <c r="L132" i="15"/>
  <c r="AE131" i="15"/>
  <c r="AF131" i="15" s="1"/>
  <c r="Z131" i="15"/>
  <c r="AA131" i="15" s="1"/>
  <c r="U131" i="15"/>
  <c r="T131" i="15"/>
  <c r="V131" i="15" s="1"/>
  <c r="L131" i="15"/>
  <c r="AE130" i="15"/>
  <c r="AF130" i="15" s="1"/>
  <c r="Z130" i="15"/>
  <c r="AA130" i="15" s="1"/>
  <c r="U130" i="15"/>
  <c r="T130" i="15"/>
  <c r="V130" i="15" s="1"/>
  <c r="L130" i="15"/>
  <c r="AE129" i="15"/>
  <c r="AF129" i="15" s="1"/>
  <c r="Z129" i="15"/>
  <c r="AA129" i="15" s="1"/>
  <c r="U129" i="15"/>
  <c r="T129" i="15"/>
  <c r="V129" i="15" s="1"/>
  <c r="L129" i="15"/>
  <c r="AE128" i="15"/>
  <c r="AF128" i="15" s="1"/>
  <c r="Z128" i="15"/>
  <c r="AA128" i="15" s="1"/>
  <c r="U128" i="15"/>
  <c r="T128" i="15"/>
  <c r="V128" i="15" s="1"/>
  <c r="L128" i="15"/>
  <c r="AE127" i="15"/>
  <c r="AF127" i="15" s="1"/>
  <c r="Z127" i="15"/>
  <c r="AA127" i="15" s="1"/>
  <c r="U127" i="15"/>
  <c r="T127" i="15"/>
  <c r="V127" i="15" s="1"/>
  <c r="L127" i="15"/>
  <c r="AE126" i="15"/>
  <c r="AF126" i="15" s="1"/>
  <c r="Z126" i="15"/>
  <c r="AA126" i="15" s="1"/>
  <c r="U126" i="15"/>
  <c r="T126" i="15"/>
  <c r="V126" i="15" s="1"/>
  <c r="L126" i="15"/>
  <c r="AE125" i="15"/>
  <c r="AF125" i="15" s="1"/>
  <c r="Z125" i="15"/>
  <c r="AA125" i="15" s="1"/>
  <c r="U125" i="15"/>
  <c r="T125" i="15"/>
  <c r="V125" i="15" s="1"/>
  <c r="L125" i="15"/>
  <c r="AE124" i="15"/>
  <c r="AF124" i="15" s="1"/>
  <c r="Z124" i="15"/>
  <c r="AA124" i="15" s="1"/>
  <c r="U124" i="15"/>
  <c r="T124" i="15"/>
  <c r="V124" i="15" s="1"/>
  <c r="L124" i="15"/>
  <c r="AE123" i="15"/>
  <c r="AF123" i="15" s="1"/>
  <c r="Z123" i="15"/>
  <c r="AA123" i="15" s="1"/>
  <c r="U123" i="15"/>
  <c r="T123" i="15"/>
  <c r="V123" i="15" s="1"/>
  <c r="L123" i="15"/>
  <c r="AE122" i="15"/>
  <c r="AF122" i="15" s="1"/>
  <c r="Z122" i="15"/>
  <c r="AA122" i="15" s="1"/>
  <c r="U122" i="15"/>
  <c r="T122" i="15"/>
  <c r="V122" i="15" s="1"/>
  <c r="L122" i="15"/>
  <c r="AE121" i="15"/>
  <c r="AF121" i="15" s="1"/>
  <c r="Z121" i="15"/>
  <c r="AA121" i="15" s="1"/>
  <c r="U121" i="15"/>
  <c r="T121" i="15"/>
  <c r="V121" i="15" s="1"/>
  <c r="L121" i="15"/>
  <c r="AE120" i="15"/>
  <c r="AF120" i="15" s="1"/>
  <c r="Z120" i="15"/>
  <c r="AA120" i="15" s="1"/>
  <c r="U120" i="15"/>
  <c r="T120" i="15"/>
  <c r="V120" i="15" s="1"/>
  <c r="L120" i="15"/>
  <c r="AE119" i="15"/>
  <c r="AF119" i="15" s="1"/>
  <c r="Z119" i="15"/>
  <c r="AA119" i="15" s="1"/>
  <c r="U119" i="15"/>
  <c r="T119" i="15"/>
  <c r="V119" i="15" s="1"/>
  <c r="L119" i="15"/>
  <c r="AE118" i="15"/>
  <c r="AF118" i="15" s="1"/>
  <c r="Z118" i="15"/>
  <c r="AA118" i="15" s="1"/>
  <c r="U118" i="15"/>
  <c r="T118" i="15"/>
  <c r="V118" i="15" s="1"/>
  <c r="L118" i="15"/>
  <c r="AE117" i="15"/>
  <c r="AF117" i="15" s="1"/>
  <c r="Z117" i="15"/>
  <c r="AA117" i="15" s="1"/>
  <c r="U117" i="15"/>
  <c r="T117" i="15"/>
  <c r="V117" i="15" s="1"/>
  <c r="L117" i="15"/>
  <c r="AE116" i="15"/>
  <c r="AF116" i="15" s="1"/>
  <c r="Z116" i="15"/>
  <c r="AA116" i="15" s="1"/>
  <c r="U116" i="15"/>
  <c r="T116" i="15"/>
  <c r="V116" i="15" s="1"/>
  <c r="L116" i="15"/>
  <c r="AE115" i="15"/>
  <c r="AF115" i="15" s="1"/>
  <c r="Z115" i="15"/>
  <c r="AA115" i="15" s="1"/>
  <c r="U115" i="15"/>
  <c r="T115" i="15"/>
  <c r="V115" i="15" s="1"/>
  <c r="L115" i="15"/>
  <c r="AE114" i="15"/>
  <c r="AF114" i="15" s="1"/>
  <c r="Z114" i="15"/>
  <c r="AA114" i="15" s="1"/>
  <c r="U114" i="15"/>
  <c r="T114" i="15"/>
  <c r="V114" i="15" s="1"/>
  <c r="L114" i="15"/>
  <c r="AE113" i="15"/>
  <c r="AF113" i="15" s="1"/>
  <c r="Z113" i="15"/>
  <c r="AA113" i="15" s="1"/>
  <c r="U113" i="15"/>
  <c r="T113" i="15"/>
  <c r="V113" i="15" s="1"/>
  <c r="L113" i="15"/>
  <c r="AE112" i="15"/>
  <c r="AF112" i="15" s="1"/>
  <c r="Z112" i="15"/>
  <c r="AA112" i="15" s="1"/>
  <c r="U112" i="15"/>
  <c r="T112" i="15"/>
  <c r="V112" i="15" s="1"/>
  <c r="L112" i="15"/>
  <c r="AE111" i="15"/>
  <c r="AF111" i="15" s="1"/>
  <c r="Z111" i="15"/>
  <c r="AA111" i="15" s="1"/>
  <c r="U111" i="15"/>
  <c r="T111" i="15"/>
  <c r="V111" i="15" s="1"/>
  <c r="L111" i="15"/>
  <c r="AE110" i="15"/>
  <c r="AF110" i="15" s="1"/>
  <c r="Z110" i="15"/>
  <c r="AA110" i="15" s="1"/>
  <c r="U110" i="15"/>
  <c r="T110" i="15"/>
  <c r="V110" i="15" s="1"/>
  <c r="L110" i="15"/>
  <c r="AE109" i="15"/>
  <c r="AF109" i="15" s="1"/>
  <c r="Z109" i="15"/>
  <c r="AA109" i="15" s="1"/>
  <c r="U109" i="15"/>
  <c r="T109" i="15"/>
  <c r="V109" i="15" s="1"/>
  <c r="L109" i="15"/>
  <c r="AE108" i="15"/>
  <c r="AF108" i="15" s="1"/>
  <c r="Z108" i="15"/>
  <c r="AA108" i="15" s="1"/>
  <c r="U108" i="15"/>
  <c r="T108" i="15"/>
  <c r="V108" i="15" s="1"/>
  <c r="L108" i="15"/>
  <c r="AE107" i="15"/>
  <c r="AF107" i="15" s="1"/>
  <c r="Z107" i="15"/>
  <c r="AA107" i="15" s="1"/>
  <c r="U107" i="15"/>
  <c r="T107" i="15"/>
  <c r="V107" i="15" s="1"/>
  <c r="L107" i="15"/>
  <c r="AE106" i="15"/>
  <c r="AF106" i="15" s="1"/>
  <c r="Z106" i="15"/>
  <c r="AA106" i="15" s="1"/>
  <c r="U106" i="15"/>
  <c r="T106" i="15"/>
  <c r="V106" i="15" s="1"/>
  <c r="L106" i="15"/>
  <c r="AE105" i="15"/>
  <c r="AF105" i="15" s="1"/>
  <c r="Z105" i="15"/>
  <c r="AA105" i="15" s="1"/>
  <c r="U105" i="15"/>
  <c r="T105" i="15"/>
  <c r="V105" i="15" s="1"/>
  <c r="L105" i="15"/>
  <c r="AE104" i="15"/>
  <c r="AF104" i="15" s="1"/>
  <c r="Z104" i="15"/>
  <c r="AA104" i="15" s="1"/>
  <c r="U104" i="15"/>
  <c r="T104" i="15"/>
  <c r="V104" i="15" s="1"/>
  <c r="L104" i="15"/>
  <c r="AE103" i="15"/>
  <c r="AF103" i="15" s="1"/>
  <c r="Z103" i="15"/>
  <c r="AA103" i="15" s="1"/>
  <c r="U103" i="15"/>
  <c r="T103" i="15"/>
  <c r="V103" i="15" s="1"/>
  <c r="L103" i="15"/>
  <c r="AE102" i="15"/>
  <c r="AF102" i="15" s="1"/>
  <c r="Z102" i="15"/>
  <c r="AA102" i="15" s="1"/>
  <c r="U102" i="15"/>
  <c r="T102" i="15"/>
  <c r="V102" i="15" s="1"/>
  <c r="L102" i="15"/>
  <c r="AE101" i="15"/>
  <c r="AF101" i="15" s="1"/>
  <c r="Z101" i="15"/>
  <c r="AA101" i="15" s="1"/>
  <c r="U101" i="15"/>
  <c r="T101" i="15"/>
  <c r="V101" i="15" s="1"/>
  <c r="L101" i="15"/>
  <c r="AE100" i="15"/>
  <c r="AF100" i="15" s="1"/>
  <c r="Z100" i="15"/>
  <c r="AA100" i="15" s="1"/>
  <c r="U100" i="15"/>
  <c r="T100" i="15"/>
  <c r="V100" i="15" s="1"/>
  <c r="L100" i="15"/>
  <c r="AE99" i="15"/>
  <c r="AF99" i="15" s="1"/>
  <c r="Z99" i="15"/>
  <c r="AA99" i="15" s="1"/>
  <c r="U99" i="15"/>
  <c r="T99" i="15"/>
  <c r="V99" i="15" s="1"/>
  <c r="L99" i="15"/>
  <c r="AE98" i="15"/>
  <c r="AF98" i="15" s="1"/>
  <c r="Z98" i="15"/>
  <c r="AA98" i="15" s="1"/>
  <c r="U98" i="15"/>
  <c r="T98" i="15"/>
  <c r="V98" i="15" s="1"/>
  <c r="L98" i="15"/>
  <c r="AE97" i="15"/>
  <c r="AF97" i="15" s="1"/>
  <c r="Z97" i="15"/>
  <c r="AA97" i="15" s="1"/>
  <c r="U97" i="15"/>
  <c r="T97" i="15"/>
  <c r="V97" i="15" s="1"/>
  <c r="L97" i="15"/>
  <c r="AE96" i="15"/>
  <c r="AF96" i="15" s="1"/>
  <c r="Z96" i="15"/>
  <c r="AA96" i="15" s="1"/>
  <c r="U96" i="15"/>
  <c r="T96" i="15"/>
  <c r="V96" i="15" s="1"/>
  <c r="L96" i="15"/>
  <c r="AE95" i="15"/>
  <c r="AF95" i="15" s="1"/>
  <c r="Z95" i="15"/>
  <c r="AA95" i="15" s="1"/>
  <c r="U95" i="15"/>
  <c r="T95" i="15"/>
  <c r="V95" i="15" s="1"/>
  <c r="L95" i="15"/>
  <c r="AE94" i="15"/>
  <c r="AF94" i="15" s="1"/>
  <c r="Z94" i="15"/>
  <c r="AA94" i="15" s="1"/>
  <c r="U94" i="15"/>
  <c r="T94" i="15"/>
  <c r="V94" i="15" s="1"/>
  <c r="L94" i="15"/>
  <c r="AE93" i="15"/>
  <c r="AF93" i="15" s="1"/>
  <c r="Z93" i="15"/>
  <c r="AA93" i="15" s="1"/>
  <c r="U93" i="15"/>
  <c r="T93" i="15"/>
  <c r="V93" i="15" s="1"/>
  <c r="L93" i="15"/>
  <c r="AE92" i="15"/>
  <c r="AF92" i="15" s="1"/>
  <c r="Z92" i="15"/>
  <c r="AA92" i="15" s="1"/>
  <c r="U92" i="15"/>
  <c r="T92" i="15"/>
  <c r="V92" i="15" s="1"/>
  <c r="L92" i="15"/>
  <c r="AE91" i="15"/>
  <c r="AF91" i="15" s="1"/>
  <c r="Z91" i="15"/>
  <c r="AA91" i="15" s="1"/>
  <c r="U91" i="15"/>
  <c r="T91" i="15"/>
  <c r="V91" i="15" s="1"/>
  <c r="L91" i="15"/>
  <c r="AE90" i="15"/>
  <c r="AF90" i="15" s="1"/>
  <c r="Z90" i="15"/>
  <c r="AA90" i="15" s="1"/>
  <c r="U90" i="15"/>
  <c r="T90" i="15"/>
  <c r="V90" i="15" s="1"/>
  <c r="L90" i="15"/>
  <c r="AE89" i="15"/>
  <c r="AF89" i="15" s="1"/>
  <c r="Z89" i="15"/>
  <c r="AA89" i="15" s="1"/>
  <c r="U89" i="15"/>
  <c r="T89" i="15"/>
  <c r="V89" i="15" s="1"/>
  <c r="L89" i="15"/>
  <c r="AE88" i="15"/>
  <c r="AF88" i="15" s="1"/>
  <c r="Z88" i="15"/>
  <c r="AA88" i="15" s="1"/>
  <c r="U88" i="15"/>
  <c r="T88" i="15"/>
  <c r="V88" i="15" s="1"/>
  <c r="L88" i="15"/>
  <c r="AE87" i="15"/>
  <c r="AF87" i="15" s="1"/>
  <c r="Z87" i="15"/>
  <c r="AA87" i="15" s="1"/>
  <c r="U87" i="15"/>
  <c r="T87" i="15"/>
  <c r="V87" i="15" s="1"/>
  <c r="L87" i="15"/>
  <c r="AE86" i="15"/>
  <c r="AF86" i="15" s="1"/>
  <c r="Z86" i="15"/>
  <c r="AA86" i="15" s="1"/>
  <c r="U86" i="15"/>
  <c r="T86" i="15"/>
  <c r="V86" i="15" s="1"/>
  <c r="L86" i="15"/>
  <c r="AE85" i="15"/>
  <c r="AF85" i="15" s="1"/>
  <c r="Z85" i="15"/>
  <c r="AA85" i="15" s="1"/>
  <c r="U85" i="15"/>
  <c r="T85" i="15"/>
  <c r="V85" i="15" s="1"/>
  <c r="L85" i="15"/>
  <c r="AE84" i="15"/>
  <c r="AF84" i="15" s="1"/>
  <c r="Z84" i="15"/>
  <c r="AA84" i="15" s="1"/>
  <c r="U84" i="15"/>
  <c r="T84" i="15"/>
  <c r="V84" i="15" s="1"/>
  <c r="L84" i="15"/>
  <c r="AE83" i="15"/>
  <c r="AF83" i="15" s="1"/>
  <c r="Z83" i="15"/>
  <c r="AA83" i="15" s="1"/>
  <c r="U83" i="15"/>
  <c r="T83" i="15"/>
  <c r="V83" i="15" s="1"/>
  <c r="L83" i="15"/>
  <c r="AE82" i="15"/>
  <c r="AF82" i="15" s="1"/>
  <c r="Z82" i="15"/>
  <c r="AA82" i="15" s="1"/>
  <c r="U82" i="15"/>
  <c r="T82" i="15"/>
  <c r="V82" i="15" s="1"/>
  <c r="L82" i="15"/>
  <c r="AE81" i="15"/>
  <c r="AF81" i="15" s="1"/>
  <c r="Z81" i="15"/>
  <c r="AA81" i="15" s="1"/>
  <c r="U81" i="15"/>
  <c r="T81" i="15"/>
  <c r="V81" i="15" s="1"/>
  <c r="L81" i="15"/>
  <c r="AE80" i="15"/>
  <c r="AF80" i="15" s="1"/>
  <c r="Z80" i="15"/>
  <c r="AA80" i="15" s="1"/>
  <c r="U80" i="15"/>
  <c r="T80" i="15"/>
  <c r="V80" i="15" s="1"/>
  <c r="L80" i="15"/>
  <c r="AE79" i="15"/>
  <c r="AF79" i="15" s="1"/>
  <c r="Z79" i="15"/>
  <c r="AA79" i="15" s="1"/>
  <c r="U79" i="15"/>
  <c r="T79" i="15"/>
  <c r="V79" i="15" s="1"/>
  <c r="L79" i="15"/>
  <c r="AE78" i="15"/>
  <c r="AF78" i="15" s="1"/>
  <c r="Z78" i="15"/>
  <c r="AA78" i="15" s="1"/>
  <c r="U78" i="15"/>
  <c r="T78" i="15"/>
  <c r="V78" i="15" s="1"/>
  <c r="L78" i="15"/>
  <c r="AE77" i="15"/>
  <c r="AF77" i="15" s="1"/>
  <c r="Z77" i="15"/>
  <c r="AA77" i="15" s="1"/>
  <c r="U77" i="15"/>
  <c r="T77" i="15"/>
  <c r="V77" i="15" s="1"/>
  <c r="L77" i="15"/>
  <c r="AE76" i="15"/>
  <c r="AF76" i="15" s="1"/>
  <c r="Z76" i="15"/>
  <c r="AA76" i="15" s="1"/>
  <c r="U76" i="15"/>
  <c r="T76" i="15"/>
  <c r="V76" i="15" s="1"/>
  <c r="L76" i="15"/>
  <c r="AE75" i="15"/>
  <c r="AF75" i="15" s="1"/>
  <c r="Z75" i="15"/>
  <c r="AA75" i="15" s="1"/>
  <c r="U75" i="15"/>
  <c r="T75" i="15"/>
  <c r="V75" i="15" s="1"/>
  <c r="L75" i="15"/>
  <c r="AE74" i="15"/>
  <c r="AF74" i="15" s="1"/>
  <c r="Z74" i="15"/>
  <c r="AA74" i="15" s="1"/>
  <c r="U74" i="15"/>
  <c r="T74" i="15"/>
  <c r="V74" i="15" s="1"/>
  <c r="L74" i="15"/>
  <c r="AE73" i="15"/>
  <c r="AF73" i="15" s="1"/>
  <c r="Z73" i="15"/>
  <c r="AA73" i="15" s="1"/>
  <c r="U73" i="15"/>
  <c r="T73" i="15"/>
  <c r="V73" i="15" s="1"/>
  <c r="L73" i="15"/>
  <c r="AE72" i="15"/>
  <c r="AF72" i="15" s="1"/>
  <c r="Z72" i="15"/>
  <c r="AA72" i="15" s="1"/>
  <c r="U72" i="15"/>
  <c r="T72" i="15"/>
  <c r="V72" i="15" s="1"/>
  <c r="L72" i="15"/>
  <c r="AE71" i="15"/>
  <c r="AF71" i="15" s="1"/>
  <c r="Z71" i="15"/>
  <c r="AA71" i="15" s="1"/>
  <c r="U71" i="15"/>
  <c r="T71" i="15"/>
  <c r="V71" i="15" s="1"/>
  <c r="L71" i="15"/>
  <c r="AE70" i="15"/>
  <c r="AF70" i="15" s="1"/>
  <c r="Z70" i="15"/>
  <c r="AA70" i="15" s="1"/>
  <c r="U70" i="15"/>
  <c r="T70" i="15"/>
  <c r="V70" i="15" s="1"/>
  <c r="L70" i="15"/>
  <c r="AE69" i="15"/>
  <c r="AF69" i="15" s="1"/>
  <c r="Z69" i="15"/>
  <c r="AA69" i="15" s="1"/>
  <c r="U69" i="15"/>
  <c r="T69" i="15"/>
  <c r="V69" i="15" s="1"/>
  <c r="L69" i="15"/>
  <c r="AE68" i="15"/>
  <c r="AF68" i="15" s="1"/>
  <c r="Z68" i="15"/>
  <c r="AA68" i="15" s="1"/>
  <c r="U68" i="15"/>
  <c r="T68" i="15"/>
  <c r="V68" i="15" s="1"/>
  <c r="L68" i="15"/>
  <c r="AE67" i="15"/>
  <c r="AF67" i="15" s="1"/>
  <c r="Z67" i="15"/>
  <c r="AA67" i="15" s="1"/>
  <c r="U67" i="15"/>
  <c r="T67" i="15"/>
  <c r="V67" i="15" s="1"/>
  <c r="L67" i="15"/>
  <c r="AE66" i="15"/>
  <c r="AF66" i="15" s="1"/>
  <c r="Z66" i="15"/>
  <c r="AA66" i="15" s="1"/>
  <c r="U66" i="15"/>
  <c r="T66" i="15"/>
  <c r="V66" i="15" s="1"/>
  <c r="L66" i="15"/>
  <c r="AE65" i="15"/>
  <c r="AF65" i="15" s="1"/>
  <c r="Z65" i="15"/>
  <c r="AA65" i="15" s="1"/>
  <c r="U65" i="15"/>
  <c r="T65" i="15"/>
  <c r="V65" i="15" s="1"/>
  <c r="L65" i="15"/>
  <c r="AE64" i="15"/>
  <c r="AF64" i="15" s="1"/>
  <c r="Z64" i="15"/>
  <c r="AA64" i="15" s="1"/>
  <c r="U64" i="15"/>
  <c r="T64" i="15"/>
  <c r="V64" i="15" s="1"/>
  <c r="L64" i="15"/>
  <c r="AE63" i="15"/>
  <c r="AF63" i="15" s="1"/>
  <c r="Z63" i="15"/>
  <c r="AA63" i="15" s="1"/>
  <c r="U63" i="15"/>
  <c r="T63" i="15"/>
  <c r="V63" i="15" s="1"/>
  <c r="L63" i="15"/>
  <c r="AE62" i="15"/>
  <c r="AF62" i="15" s="1"/>
  <c r="Z62" i="15"/>
  <c r="AA62" i="15" s="1"/>
  <c r="U62" i="15"/>
  <c r="T62" i="15"/>
  <c r="V62" i="15" s="1"/>
  <c r="L62" i="15"/>
  <c r="AE61" i="15"/>
  <c r="AF61" i="15" s="1"/>
  <c r="Z61" i="15"/>
  <c r="AA61" i="15" s="1"/>
  <c r="U61" i="15"/>
  <c r="T61" i="15"/>
  <c r="V61" i="15" s="1"/>
  <c r="L61" i="15"/>
  <c r="AE60" i="15"/>
  <c r="AF60" i="15" s="1"/>
  <c r="Z60" i="15"/>
  <c r="AA60" i="15" s="1"/>
  <c r="U60" i="15"/>
  <c r="T60" i="15"/>
  <c r="V60" i="15" s="1"/>
  <c r="L60" i="15"/>
  <c r="AE59" i="15"/>
  <c r="AF59" i="15" s="1"/>
  <c r="Z59" i="15"/>
  <c r="AA59" i="15" s="1"/>
  <c r="U59" i="15"/>
  <c r="T59" i="15"/>
  <c r="V59" i="15" s="1"/>
  <c r="L59" i="15"/>
  <c r="AE58" i="15"/>
  <c r="AF58" i="15" s="1"/>
  <c r="Z58" i="15"/>
  <c r="AA58" i="15" s="1"/>
  <c r="U58" i="15"/>
  <c r="T58" i="15"/>
  <c r="V58" i="15" s="1"/>
  <c r="L58" i="15"/>
  <c r="AE57" i="15"/>
  <c r="AF57" i="15" s="1"/>
  <c r="Z57" i="15"/>
  <c r="AA57" i="15" s="1"/>
  <c r="U57" i="15"/>
  <c r="T57" i="15"/>
  <c r="V57" i="15" s="1"/>
  <c r="L57" i="15"/>
  <c r="AE56" i="15"/>
  <c r="AF56" i="15" s="1"/>
  <c r="Z56" i="15"/>
  <c r="AA56" i="15" s="1"/>
  <c r="U56" i="15"/>
  <c r="T56" i="15"/>
  <c r="V56" i="15" s="1"/>
  <c r="L56" i="15"/>
  <c r="AE55" i="15"/>
  <c r="AF55" i="15" s="1"/>
  <c r="Z55" i="15"/>
  <c r="AA55" i="15" s="1"/>
  <c r="U55" i="15"/>
  <c r="T55" i="15"/>
  <c r="V55" i="15" s="1"/>
  <c r="L55" i="15"/>
  <c r="AE54" i="15"/>
  <c r="AF54" i="15" s="1"/>
  <c r="Z54" i="15"/>
  <c r="AA54" i="15" s="1"/>
  <c r="U54" i="15"/>
  <c r="T54" i="15"/>
  <c r="V54" i="15" s="1"/>
  <c r="L54" i="15"/>
  <c r="AE53" i="15"/>
  <c r="AF53" i="15" s="1"/>
  <c r="Z53" i="15"/>
  <c r="AA53" i="15" s="1"/>
  <c r="U53" i="15"/>
  <c r="T53" i="15"/>
  <c r="V53" i="15" s="1"/>
  <c r="L53" i="15"/>
  <c r="AE52" i="15"/>
  <c r="AF52" i="15" s="1"/>
  <c r="Z52" i="15"/>
  <c r="AA52" i="15" s="1"/>
  <c r="U52" i="15"/>
  <c r="T52" i="15"/>
  <c r="V52" i="15" s="1"/>
  <c r="L52" i="15"/>
  <c r="AE51" i="15"/>
  <c r="AF51" i="15" s="1"/>
  <c r="Z51" i="15"/>
  <c r="AA51" i="15" s="1"/>
  <c r="U51" i="15"/>
  <c r="T51" i="15"/>
  <c r="V51" i="15" s="1"/>
  <c r="L51" i="15"/>
  <c r="AE50" i="15"/>
  <c r="AF50" i="15" s="1"/>
  <c r="Z50" i="15"/>
  <c r="AA50" i="15" s="1"/>
  <c r="U50" i="15"/>
  <c r="T50" i="15"/>
  <c r="V50" i="15" s="1"/>
  <c r="L50" i="15"/>
  <c r="AE49" i="15"/>
  <c r="AF49" i="15" s="1"/>
  <c r="Z49" i="15"/>
  <c r="AA49" i="15" s="1"/>
  <c r="U49" i="15"/>
  <c r="T49" i="15"/>
  <c r="V49" i="15" s="1"/>
  <c r="L49" i="15"/>
  <c r="AE48" i="15"/>
  <c r="AF48" i="15" s="1"/>
  <c r="Z48" i="15"/>
  <c r="AA48" i="15" s="1"/>
  <c r="U48" i="15"/>
  <c r="T48" i="15"/>
  <c r="V48" i="15" s="1"/>
  <c r="L48" i="15"/>
  <c r="AE47" i="15"/>
  <c r="AF47" i="15" s="1"/>
  <c r="Z47" i="15"/>
  <c r="AA47" i="15" s="1"/>
  <c r="U47" i="15"/>
  <c r="T47" i="15"/>
  <c r="V47" i="15" s="1"/>
  <c r="L47" i="15"/>
  <c r="AE46" i="15"/>
  <c r="AF46" i="15" s="1"/>
  <c r="Z46" i="15"/>
  <c r="AA46" i="15" s="1"/>
  <c r="U46" i="15"/>
  <c r="T46" i="15"/>
  <c r="V46" i="15" s="1"/>
  <c r="L46" i="15"/>
  <c r="AE45" i="15"/>
  <c r="AF45" i="15" s="1"/>
  <c r="Z45" i="15"/>
  <c r="AA45" i="15" s="1"/>
  <c r="U45" i="15"/>
  <c r="T45" i="15"/>
  <c r="V45" i="15" s="1"/>
  <c r="L45" i="15"/>
  <c r="AE44" i="15"/>
  <c r="AF44" i="15" s="1"/>
  <c r="Z44" i="15"/>
  <c r="AA44" i="15" s="1"/>
  <c r="U44" i="15"/>
  <c r="T44" i="15"/>
  <c r="V44" i="15" s="1"/>
  <c r="L44" i="15"/>
  <c r="AE43" i="15"/>
  <c r="AF43" i="15" s="1"/>
  <c r="Z43" i="15"/>
  <c r="AA43" i="15" s="1"/>
  <c r="U43" i="15"/>
  <c r="T43" i="15"/>
  <c r="V43" i="15" s="1"/>
  <c r="L43" i="15"/>
  <c r="AE42" i="15"/>
  <c r="AF42" i="15" s="1"/>
  <c r="Z42" i="15"/>
  <c r="AA42" i="15" s="1"/>
  <c r="U42" i="15"/>
  <c r="T42" i="15"/>
  <c r="V42" i="15" s="1"/>
  <c r="L42" i="15"/>
  <c r="AE41" i="15"/>
  <c r="AF41" i="15" s="1"/>
  <c r="Z41" i="15"/>
  <c r="AA41" i="15" s="1"/>
  <c r="U41" i="15"/>
  <c r="T41" i="15"/>
  <c r="V41" i="15" s="1"/>
  <c r="L41" i="15"/>
  <c r="AE40" i="15"/>
  <c r="AF40" i="15" s="1"/>
  <c r="Z40" i="15"/>
  <c r="AA40" i="15" s="1"/>
  <c r="U40" i="15"/>
  <c r="T40" i="15"/>
  <c r="V40" i="15" s="1"/>
  <c r="L40" i="15"/>
  <c r="AE39" i="15"/>
  <c r="AF39" i="15" s="1"/>
  <c r="Z39" i="15"/>
  <c r="AA39" i="15" s="1"/>
  <c r="U39" i="15"/>
  <c r="T39" i="15"/>
  <c r="V39" i="15" s="1"/>
  <c r="L39" i="15"/>
  <c r="AE38" i="15"/>
  <c r="AF38" i="15" s="1"/>
  <c r="Z38" i="15"/>
  <c r="AA38" i="15" s="1"/>
  <c r="U38" i="15"/>
  <c r="T38" i="15"/>
  <c r="V38" i="15" s="1"/>
  <c r="L38" i="15"/>
  <c r="AE37" i="15"/>
  <c r="AF37" i="15" s="1"/>
  <c r="Z37" i="15"/>
  <c r="AA37" i="15" s="1"/>
  <c r="U37" i="15"/>
  <c r="T37" i="15"/>
  <c r="V37" i="15" s="1"/>
  <c r="L37" i="15"/>
  <c r="AE36" i="15"/>
  <c r="AF36" i="15" s="1"/>
  <c r="Z36" i="15"/>
  <c r="AA36" i="15" s="1"/>
  <c r="U36" i="15"/>
  <c r="T36" i="15"/>
  <c r="V36" i="15" s="1"/>
  <c r="L36" i="15"/>
  <c r="AE35" i="15"/>
  <c r="AF35" i="15" s="1"/>
  <c r="Z35" i="15"/>
  <c r="AA35" i="15" s="1"/>
  <c r="U35" i="15"/>
  <c r="T35" i="15"/>
  <c r="V35" i="15" s="1"/>
  <c r="L35" i="15"/>
  <c r="AE34" i="15"/>
  <c r="AF34" i="15" s="1"/>
  <c r="Z34" i="15"/>
  <c r="AA34" i="15" s="1"/>
  <c r="U34" i="15"/>
  <c r="T34" i="15"/>
  <c r="V34" i="15" s="1"/>
  <c r="L34" i="15"/>
  <c r="AE33" i="15"/>
  <c r="AF33" i="15" s="1"/>
  <c r="Z33" i="15"/>
  <c r="AA33" i="15" s="1"/>
  <c r="U33" i="15"/>
  <c r="T33" i="15"/>
  <c r="V33" i="15" s="1"/>
  <c r="L33" i="15"/>
  <c r="AE32" i="15"/>
  <c r="AF32" i="15" s="1"/>
  <c r="Z32" i="15"/>
  <c r="AA32" i="15" s="1"/>
  <c r="U32" i="15"/>
  <c r="T32" i="15"/>
  <c r="V32" i="15" s="1"/>
  <c r="L32" i="15"/>
  <c r="AE31" i="15"/>
  <c r="AF31" i="15" s="1"/>
  <c r="Z31" i="15"/>
  <c r="AA31" i="15" s="1"/>
  <c r="U31" i="15"/>
  <c r="T31" i="15"/>
  <c r="V31" i="15" s="1"/>
  <c r="L31" i="15"/>
  <c r="AE30" i="15"/>
  <c r="AF30" i="15" s="1"/>
  <c r="Z30" i="15"/>
  <c r="AA30" i="15" s="1"/>
  <c r="U30" i="15"/>
  <c r="T30" i="15"/>
  <c r="V30" i="15" s="1"/>
  <c r="L30" i="15"/>
  <c r="AE29" i="15"/>
  <c r="AF29" i="15" s="1"/>
  <c r="Z29" i="15"/>
  <c r="AA29" i="15" s="1"/>
  <c r="U29" i="15"/>
  <c r="T29" i="15"/>
  <c r="V29" i="15" s="1"/>
  <c r="L29" i="15"/>
  <c r="AE28" i="15"/>
  <c r="AF28" i="15" s="1"/>
  <c r="Z28" i="15"/>
  <c r="AA28" i="15" s="1"/>
  <c r="U28" i="15"/>
  <c r="T28" i="15"/>
  <c r="V28" i="15" s="1"/>
  <c r="L28" i="15"/>
  <c r="AE27" i="15"/>
  <c r="AF27" i="15" s="1"/>
  <c r="Z27" i="15"/>
  <c r="AA27" i="15" s="1"/>
  <c r="U27" i="15"/>
  <c r="T27" i="15"/>
  <c r="V27" i="15" s="1"/>
  <c r="L27" i="15"/>
  <c r="AE26" i="15"/>
  <c r="AF26" i="15" s="1"/>
  <c r="Z26" i="15"/>
  <c r="AA26" i="15" s="1"/>
  <c r="U26" i="15"/>
  <c r="T26" i="15"/>
  <c r="V26" i="15" s="1"/>
  <c r="L26" i="15"/>
  <c r="AE25" i="15"/>
  <c r="AF25" i="15" s="1"/>
  <c r="Z25" i="15"/>
  <c r="AA25" i="15" s="1"/>
  <c r="U25" i="15"/>
  <c r="T25" i="15"/>
  <c r="V25" i="15" s="1"/>
  <c r="L25" i="15"/>
  <c r="AE24" i="15"/>
  <c r="AF24" i="15" s="1"/>
  <c r="Z24" i="15"/>
  <c r="AA24" i="15" s="1"/>
  <c r="U24" i="15"/>
  <c r="T24" i="15"/>
  <c r="V24" i="15" s="1"/>
  <c r="L24" i="15"/>
  <c r="AE23" i="15"/>
  <c r="AF23" i="15" s="1"/>
  <c r="Z23" i="15"/>
  <c r="AA23" i="15" s="1"/>
  <c r="U23" i="15"/>
  <c r="T23" i="15"/>
  <c r="V23" i="15" s="1"/>
  <c r="L23" i="15"/>
  <c r="AE22" i="15"/>
  <c r="AF22" i="15" s="1"/>
  <c r="Z22" i="15"/>
  <c r="AA22" i="15" s="1"/>
  <c r="U22" i="15"/>
  <c r="T22" i="15"/>
  <c r="V22" i="15" s="1"/>
  <c r="L22" i="15"/>
  <c r="AE21" i="15"/>
  <c r="AF21" i="15" s="1"/>
  <c r="Z21" i="15"/>
  <c r="AA21" i="15" s="1"/>
  <c r="U21" i="15"/>
  <c r="T21" i="15"/>
  <c r="V21" i="15" s="1"/>
  <c r="L21" i="15"/>
  <c r="AE20" i="15"/>
  <c r="AF20" i="15" s="1"/>
  <c r="Z20" i="15"/>
  <c r="AA20" i="15" s="1"/>
  <c r="U20" i="15"/>
  <c r="T20" i="15"/>
  <c r="V20" i="15" s="1"/>
  <c r="L20" i="15"/>
  <c r="AE19" i="15"/>
  <c r="AF19" i="15" s="1"/>
  <c r="Z19" i="15"/>
  <c r="AA19" i="15" s="1"/>
  <c r="U19" i="15"/>
  <c r="T19" i="15"/>
  <c r="V19" i="15" s="1"/>
  <c r="L19" i="15"/>
  <c r="AE18" i="15"/>
  <c r="AF18" i="15" s="1"/>
  <c r="Z18" i="15"/>
  <c r="AA18" i="15" s="1"/>
  <c r="U18" i="15"/>
  <c r="T18" i="15"/>
  <c r="V18" i="15" s="1"/>
  <c r="L18" i="15"/>
  <c r="AE17" i="15"/>
  <c r="AF17" i="15" s="1"/>
  <c r="Z17" i="15"/>
  <c r="AA17" i="15" s="1"/>
  <c r="U17" i="15"/>
  <c r="T17" i="15"/>
  <c r="V17" i="15" s="1"/>
  <c r="L17" i="15"/>
  <c r="AE16" i="15"/>
  <c r="AF16" i="15" s="1"/>
  <c r="Z16" i="15"/>
  <c r="AA16" i="15" s="1"/>
  <c r="U16" i="15"/>
  <c r="T16" i="15"/>
  <c r="V16" i="15" s="1"/>
  <c r="L16" i="15"/>
  <c r="AE15" i="15"/>
  <c r="AF15" i="15" s="1"/>
  <c r="Z15" i="15"/>
  <c r="AA15" i="15" s="1"/>
  <c r="U15" i="15"/>
  <c r="T15" i="15"/>
  <c r="V15" i="15" s="1"/>
  <c r="L15" i="15"/>
  <c r="AE14" i="15"/>
  <c r="AF14" i="15" s="1"/>
  <c r="Z14" i="15"/>
  <c r="AA14" i="15" s="1"/>
  <c r="U14" i="15"/>
  <c r="T14" i="15"/>
  <c r="V14" i="15" s="1"/>
  <c r="L14" i="15"/>
  <c r="AE13" i="15"/>
  <c r="AF13" i="15" s="1"/>
  <c r="Z13" i="15"/>
  <c r="AA13" i="15" s="1"/>
  <c r="U13" i="15"/>
  <c r="T13" i="15"/>
  <c r="V13" i="15" s="1"/>
  <c r="L13" i="15"/>
  <c r="J23" i="3" l="1"/>
  <c r="D1000" i="1" l="1"/>
  <c r="D999" i="1"/>
  <c r="D998" i="1"/>
  <c r="D997" i="1"/>
  <c r="D996" i="1"/>
  <c r="D995" i="1"/>
  <c r="D994" i="1"/>
  <c r="D993" i="1"/>
  <c r="D992" i="1"/>
  <c r="D991" i="1"/>
  <c r="E847" i="1"/>
  <c r="D847" i="1"/>
  <c r="E846" i="1"/>
  <c r="D846" i="1"/>
  <c r="E845" i="1"/>
  <c r="D845" i="1"/>
  <c r="E844" i="1"/>
  <c r="D844" i="1"/>
  <c r="E843" i="1"/>
  <c r="D843" i="1"/>
  <c r="E842" i="1"/>
  <c r="D842" i="1"/>
  <c r="E841" i="1"/>
  <c r="D841" i="1"/>
  <c r="E840" i="1"/>
  <c r="D840" i="1"/>
  <c r="E839" i="1"/>
  <c r="D839" i="1"/>
  <c r="E838" i="1"/>
  <c r="D838" i="1"/>
  <c r="E837" i="1"/>
  <c r="D837" i="1"/>
  <c r="E836" i="1"/>
  <c r="D836" i="1"/>
  <c r="E835" i="1"/>
  <c r="D835" i="1"/>
  <c r="E834" i="1"/>
  <c r="D834" i="1"/>
  <c r="E833" i="1"/>
  <c r="D833" i="1"/>
  <c r="E832" i="1"/>
  <c r="D832" i="1"/>
  <c r="E831" i="1"/>
  <c r="D831" i="1"/>
  <c r="E830" i="1"/>
  <c r="D830" i="1"/>
  <c r="E829" i="1"/>
  <c r="D829" i="1"/>
  <c r="E828" i="1"/>
  <c r="D828" i="1"/>
  <c r="E754" i="1"/>
  <c r="D754" i="1"/>
  <c r="E753" i="1"/>
  <c r="D753" i="1"/>
  <c r="E752" i="1"/>
  <c r="D752" i="1"/>
  <c r="E751" i="1"/>
  <c r="D751" i="1"/>
  <c r="E750" i="1"/>
  <c r="D750" i="1"/>
  <c r="E749" i="1"/>
  <c r="D749" i="1"/>
  <c r="E748" i="1"/>
  <c r="D748" i="1"/>
  <c r="E747" i="1"/>
  <c r="D747" i="1"/>
  <c r="E746" i="1"/>
  <c r="D746" i="1"/>
  <c r="E745" i="1"/>
  <c r="D745" i="1"/>
  <c r="CU488" i="1"/>
  <c r="CS488" i="1"/>
  <c r="CR488" i="1"/>
  <c r="CI488" i="1"/>
  <c r="CH488" i="1"/>
  <c r="CD488" i="1"/>
  <c r="CC488" i="1"/>
  <c r="BZ488" i="1"/>
  <c r="BX488" i="1"/>
  <c r="BV488" i="1"/>
  <c r="BT488" i="1"/>
  <c r="BR488" i="1"/>
  <c r="BL488" i="1"/>
  <c r="BJ488" i="1"/>
  <c r="BI488" i="1"/>
  <c r="AS488" i="1"/>
  <c r="AR488" i="1"/>
  <c r="AP488" i="1"/>
  <c r="AJ488" i="1"/>
  <c r="AI488" i="1"/>
  <c r="AH488" i="1"/>
  <c r="AF488" i="1"/>
  <c r="AE488" i="1"/>
  <c r="AD488" i="1"/>
  <c r="X488" i="1"/>
  <c r="V488" i="1"/>
  <c r="U488" i="1"/>
  <c r="Q488" i="1"/>
  <c r="O488" i="1"/>
  <c r="M488" i="1"/>
  <c r="K488" i="1"/>
  <c r="J488" i="1"/>
  <c r="I488" i="1"/>
  <c r="A297" i="1"/>
  <c r="A296"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EO13" i="1"/>
  <c r="EL13" i="1"/>
  <c r="EI13" i="1"/>
  <c r="EF13" i="1"/>
  <c r="EA13" i="1"/>
  <c r="DX13" i="1"/>
  <c r="DU13" i="1"/>
  <c r="DR13" i="1"/>
  <c r="DO13" i="1"/>
  <c r="DL13" i="1"/>
  <c r="DI13" i="1"/>
  <c r="DG13" i="1"/>
  <c r="DF13" i="1"/>
  <c r="CP13" i="1"/>
  <c r="CO13" i="1"/>
  <c r="CN13" i="1"/>
  <c r="CK13" i="1"/>
  <c r="CI13" i="1"/>
  <c r="BP13" i="1"/>
  <c r="BO13" i="1"/>
  <c r="BL13" i="1"/>
  <c r="BI13" i="1"/>
  <c r="BD13" i="1"/>
  <c r="BA13" i="1"/>
  <c r="AV13" i="1"/>
  <c r="AU13" i="1"/>
  <c r="AT13" i="1"/>
  <c r="AS13" i="1"/>
  <c r="AR13" i="1"/>
  <c r="AQ13" i="1"/>
  <c r="AP13" i="1"/>
  <c r="AO13" i="1"/>
  <c r="AN13" i="1"/>
  <c r="AK13" i="1"/>
  <c r="AJ13" i="1"/>
  <c r="AI13" i="1"/>
  <c r="AH13" i="1"/>
  <c r="AG13" i="1"/>
  <c r="AF13" i="1"/>
  <c r="AE13" i="1"/>
  <c r="AD13" i="1"/>
  <c r="AC13" i="1"/>
  <c r="P13" i="1"/>
  <c r="M13" i="1"/>
  <c r="J13" i="1"/>
  <c r="E13" i="1"/>
  <c r="D13" i="1"/>
  <c r="C13" i="1"/>
  <c r="B13" i="1"/>
  <c r="A13" i="1"/>
  <c r="B7" i="1"/>
  <c r="P488" i="1" l="1"/>
  <c r="Z488" i="1" l="1"/>
  <c r="I1083" i="1" l="1"/>
  <c r="I1082" i="1"/>
  <c r="I1081" i="1"/>
  <c r="I1080" i="1"/>
  <c r="I1079" i="1"/>
  <c r="I1078" i="1"/>
  <c r="I1077" i="1"/>
  <c r="I1076" i="1"/>
  <c r="I1075" i="1"/>
  <c r="I1074" i="1"/>
  <c r="H1083" i="1"/>
  <c r="H1082" i="1"/>
  <c r="H1081" i="1"/>
  <c r="H1080" i="1"/>
  <c r="H1079" i="1"/>
  <c r="H1078" i="1"/>
  <c r="H1077" i="1"/>
  <c r="H1076" i="1"/>
  <c r="H1075" i="1"/>
  <c r="H1074" i="1"/>
  <c r="F1083" i="1"/>
  <c r="F1082" i="1"/>
  <c r="F1081" i="1"/>
  <c r="F1080" i="1"/>
  <c r="F1079" i="1"/>
  <c r="F1078" i="1"/>
  <c r="F1077" i="1"/>
  <c r="F1076" i="1"/>
  <c r="F1075" i="1"/>
  <c r="F1074" i="1"/>
  <c r="CL488" i="1" l="1"/>
  <c r="J284" i="3" l="1"/>
  <c r="CW488" i="1" s="1"/>
  <c r="J282" i="3"/>
  <c r="CV488" i="1" s="1"/>
  <c r="J280" i="3"/>
  <c r="CT488" i="1" s="1"/>
  <c r="J285" i="3" l="1"/>
  <c r="CX488" i="1" s="1"/>
  <c r="T260" i="3"/>
  <c r="T261" i="3"/>
  <c r="T262" i="3"/>
  <c r="T263" i="3"/>
  <c r="T264" i="3"/>
  <c r="T265" i="3"/>
  <c r="T266" i="3"/>
  <c r="T267" i="3"/>
  <c r="T268" i="3"/>
  <c r="T269" i="3"/>
  <c r="J114" i="3"/>
  <c r="BK488" i="1" s="1"/>
  <c r="K67" i="3"/>
  <c r="AQ488" i="1" s="1"/>
  <c r="G13" i="1" l="1"/>
  <c r="F5" i="18"/>
  <c r="D5" i="18"/>
  <c r="B5" i="18"/>
  <c r="B4" i="18"/>
  <c r="E5" i="13"/>
  <c r="C5" i="13"/>
  <c r="G1075" i="1" l="1"/>
  <c r="G1076" i="1"/>
  <c r="G1077" i="1"/>
  <c r="G1078" i="1"/>
  <c r="G1079" i="1"/>
  <c r="G1080" i="1"/>
  <c r="G1081" i="1"/>
  <c r="G1082" i="1"/>
  <c r="G1083" i="1"/>
  <c r="G1074" i="1"/>
  <c r="J220" i="3" l="1"/>
  <c r="CB488" i="1" s="1"/>
  <c r="J200" i="3"/>
  <c r="CA488" i="1" s="1"/>
  <c r="J165" i="3"/>
  <c r="BY488" i="1" s="1"/>
  <c r="C3" i="1" l="1"/>
  <c r="C448" i="1" l="1"/>
  <c r="A448" i="1"/>
  <c r="C447" i="1"/>
  <c r="A447" i="1"/>
  <c r="A459" i="1"/>
  <c r="B459" i="1"/>
  <c r="A458" i="1"/>
  <c r="B458" i="1"/>
  <c r="A470" i="1"/>
  <c r="A469" i="1"/>
  <c r="C481" i="1"/>
  <c r="C480" i="1"/>
  <c r="A480" i="1"/>
  <c r="B480" i="1"/>
  <c r="C479" i="1"/>
  <c r="A479" i="1"/>
  <c r="B479" i="1"/>
  <c r="C478" i="1"/>
  <c r="A478" i="1"/>
  <c r="B478" i="1"/>
  <c r="C477" i="1"/>
  <c r="A477" i="1"/>
  <c r="B477" i="1"/>
  <c r="C476" i="1"/>
  <c r="A476" i="1"/>
  <c r="B476" i="1"/>
  <c r="A468" i="1"/>
  <c r="A467" i="1"/>
  <c r="A466" i="1"/>
  <c r="A465" i="1"/>
  <c r="A457" i="1"/>
  <c r="B457" i="1"/>
  <c r="A456" i="1"/>
  <c r="B456" i="1"/>
  <c r="A455" i="1"/>
  <c r="B455" i="1"/>
  <c r="A454" i="1"/>
  <c r="B454" i="1"/>
  <c r="C446" i="1"/>
  <c r="A446" i="1"/>
  <c r="C445" i="1"/>
  <c r="A445" i="1"/>
  <c r="C444" i="1"/>
  <c r="A444" i="1"/>
  <c r="C443" i="1"/>
  <c r="A443" i="1"/>
  <c r="C409" i="1"/>
  <c r="B409" i="1"/>
  <c r="A409" i="1"/>
  <c r="C408" i="1"/>
  <c r="B408" i="1"/>
  <c r="A408" i="1"/>
  <c r="C407" i="1"/>
  <c r="B407" i="1"/>
  <c r="A407" i="1"/>
  <c r="C406" i="1"/>
  <c r="B406" i="1"/>
  <c r="A406" i="1"/>
  <c r="C405" i="1"/>
  <c r="B405" i="1"/>
  <c r="A405" i="1"/>
  <c r="C398" i="1"/>
  <c r="C397" i="1"/>
  <c r="C396" i="1"/>
  <c r="C395" i="1"/>
  <c r="C394" i="1"/>
  <c r="B342" i="1"/>
  <c r="A342" i="1"/>
  <c r="B341" i="1"/>
  <c r="A341" i="1"/>
  <c r="B340" i="1"/>
  <c r="A340" i="1"/>
  <c r="B339" i="1"/>
  <c r="A339" i="1"/>
  <c r="C335" i="1"/>
  <c r="B335" i="1"/>
  <c r="A335" i="1"/>
  <c r="C334" i="1"/>
  <c r="B334" i="1"/>
  <c r="A334" i="1"/>
  <c r="B326" i="1"/>
  <c r="A326" i="1"/>
  <c r="B325" i="1"/>
  <c r="A325" i="1"/>
  <c r="B324" i="1"/>
  <c r="A324" i="1"/>
  <c r="B323" i="1"/>
  <c r="A323" i="1"/>
  <c r="C319" i="1"/>
  <c r="B319" i="1"/>
  <c r="A319" i="1"/>
  <c r="C318" i="1"/>
  <c r="B318" i="1"/>
  <c r="A318" i="1"/>
  <c r="C310" i="1"/>
  <c r="B310" i="1"/>
  <c r="C309" i="1"/>
  <c r="B309" i="1"/>
  <c r="C308" i="1"/>
  <c r="B308" i="1"/>
  <c r="C307" i="1"/>
  <c r="B307" i="1"/>
  <c r="E1083" i="1" l="1"/>
  <c r="D1083" i="1"/>
  <c r="C1083" i="1"/>
  <c r="B1083" i="1"/>
  <c r="E1082" i="1"/>
  <c r="D1082" i="1"/>
  <c r="C1082" i="1"/>
  <c r="B1082" i="1"/>
  <c r="E1081" i="1"/>
  <c r="D1081" i="1"/>
  <c r="C1081" i="1"/>
  <c r="B1081" i="1"/>
  <c r="E1080" i="1"/>
  <c r="D1080" i="1"/>
  <c r="C1080" i="1"/>
  <c r="B1080" i="1"/>
  <c r="E1079" i="1"/>
  <c r="D1079" i="1"/>
  <c r="C1079" i="1"/>
  <c r="B1079" i="1"/>
  <c r="E1078" i="1"/>
  <c r="D1078" i="1"/>
  <c r="C1078" i="1"/>
  <c r="B1078" i="1"/>
  <c r="E1077" i="1"/>
  <c r="D1077" i="1"/>
  <c r="C1077" i="1"/>
  <c r="B1077" i="1"/>
  <c r="E1076" i="1"/>
  <c r="D1076" i="1"/>
  <c r="C1076" i="1"/>
  <c r="B1076" i="1"/>
  <c r="E1075" i="1"/>
  <c r="D1075" i="1"/>
  <c r="C1075" i="1"/>
  <c r="B1075" i="1"/>
  <c r="E1074" i="1"/>
  <c r="D1074" i="1"/>
  <c r="C1074" i="1"/>
  <c r="B1074" i="1"/>
  <c r="C1000" i="1"/>
  <c r="B1000" i="1"/>
  <c r="C999" i="1"/>
  <c r="B999" i="1"/>
  <c r="C998" i="1"/>
  <c r="B998" i="1"/>
  <c r="C997" i="1"/>
  <c r="B997" i="1"/>
  <c r="C996" i="1"/>
  <c r="B996" i="1"/>
  <c r="C995" i="1"/>
  <c r="B995" i="1"/>
  <c r="C994" i="1"/>
  <c r="B994" i="1"/>
  <c r="C993" i="1"/>
  <c r="B993" i="1"/>
  <c r="C992" i="1"/>
  <c r="B992" i="1"/>
  <c r="C991" i="1"/>
  <c r="B991" i="1"/>
  <c r="C847" i="1"/>
  <c r="B847" i="1"/>
  <c r="C846" i="1"/>
  <c r="B846" i="1"/>
  <c r="C845" i="1"/>
  <c r="B845" i="1"/>
  <c r="C844" i="1"/>
  <c r="B844" i="1"/>
  <c r="C843" i="1"/>
  <c r="B843" i="1"/>
  <c r="C842" i="1"/>
  <c r="B842" i="1"/>
  <c r="C841" i="1"/>
  <c r="B841" i="1"/>
  <c r="C840" i="1"/>
  <c r="B840" i="1"/>
  <c r="C839" i="1"/>
  <c r="B839" i="1"/>
  <c r="C838" i="1"/>
  <c r="B838" i="1"/>
  <c r="C837" i="1"/>
  <c r="B837" i="1"/>
  <c r="C836" i="1"/>
  <c r="B836" i="1"/>
  <c r="C835" i="1"/>
  <c r="B835" i="1"/>
  <c r="C834" i="1"/>
  <c r="B834" i="1"/>
  <c r="C833" i="1"/>
  <c r="B833" i="1"/>
  <c r="C832" i="1"/>
  <c r="B832" i="1"/>
  <c r="C831" i="1"/>
  <c r="B831" i="1"/>
  <c r="C830" i="1"/>
  <c r="B830" i="1"/>
  <c r="C829" i="1"/>
  <c r="B829" i="1"/>
  <c r="C828" i="1"/>
  <c r="B828" i="1"/>
  <c r="C754" i="1"/>
  <c r="B754" i="1"/>
  <c r="C753" i="1"/>
  <c r="B753" i="1"/>
  <c r="C752" i="1"/>
  <c r="B752" i="1"/>
  <c r="C751" i="1"/>
  <c r="B751" i="1"/>
  <c r="C750" i="1"/>
  <c r="B750" i="1"/>
  <c r="C749" i="1"/>
  <c r="B749" i="1"/>
  <c r="C748" i="1"/>
  <c r="B748" i="1"/>
  <c r="C747" i="1"/>
  <c r="B747" i="1"/>
  <c r="C746" i="1"/>
  <c r="B746" i="1"/>
  <c r="C745" i="1"/>
  <c r="B745" i="1"/>
  <c r="C671" i="1"/>
  <c r="B671" i="1"/>
  <c r="C670" i="1"/>
  <c r="B670" i="1"/>
  <c r="C669" i="1"/>
  <c r="B669" i="1"/>
  <c r="C668" i="1"/>
  <c r="B668" i="1"/>
  <c r="C667" i="1"/>
  <c r="B667" i="1"/>
  <c r="C666" i="1"/>
  <c r="B666" i="1"/>
  <c r="C665" i="1"/>
  <c r="B665" i="1"/>
  <c r="C664" i="1"/>
  <c r="B664" i="1"/>
  <c r="C663" i="1"/>
  <c r="B663" i="1"/>
  <c r="C662" i="1"/>
  <c r="B662" i="1"/>
  <c r="D518" i="1"/>
  <c r="C518" i="1"/>
  <c r="B518" i="1"/>
  <c r="D517" i="1"/>
  <c r="C517" i="1"/>
  <c r="B517" i="1"/>
  <c r="D516" i="1"/>
  <c r="C516" i="1"/>
  <c r="B516" i="1"/>
  <c r="D515" i="1"/>
  <c r="C515" i="1"/>
  <c r="B515" i="1"/>
  <c r="D514" i="1"/>
  <c r="C514" i="1"/>
  <c r="B514" i="1"/>
  <c r="D513" i="1"/>
  <c r="C513" i="1"/>
  <c r="B513" i="1"/>
  <c r="D512" i="1"/>
  <c r="C512" i="1"/>
  <c r="B512" i="1"/>
  <c r="D511" i="1"/>
  <c r="C511" i="1"/>
  <c r="B511" i="1"/>
  <c r="D510" i="1"/>
  <c r="C510" i="1"/>
  <c r="B510" i="1"/>
  <c r="D509" i="1"/>
  <c r="C509" i="1"/>
  <c r="B509" i="1"/>
  <c r="D508" i="1"/>
  <c r="C508" i="1"/>
  <c r="B508" i="1"/>
  <c r="D507" i="1"/>
  <c r="C507" i="1"/>
  <c r="B507" i="1"/>
  <c r="D506" i="1"/>
  <c r="C506" i="1"/>
  <c r="B506" i="1"/>
  <c r="D505" i="1"/>
  <c r="C505" i="1"/>
  <c r="B505" i="1"/>
  <c r="D504" i="1"/>
  <c r="C504" i="1"/>
  <c r="B504" i="1"/>
  <c r="D503" i="1"/>
  <c r="C503" i="1"/>
  <c r="B503" i="1"/>
  <c r="D502" i="1"/>
  <c r="C502" i="1"/>
  <c r="B502" i="1"/>
  <c r="D501" i="1"/>
  <c r="C501" i="1"/>
  <c r="B501" i="1"/>
  <c r="D500" i="1"/>
  <c r="C500" i="1"/>
  <c r="B500" i="1"/>
  <c r="D499" i="1"/>
  <c r="C499" i="1"/>
  <c r="B499" i="1"/>
  <c r="CQ488" i="1"/>
  <c r="CP488" i="1"/>
  <c r="CO488" i="1"/>
  <c r="CN488" i="1"/>
  <c r="CM488" i="1"/>
  <c r="CK488" i="1"/>
  <c r="BP488" i="1"/>
  <c r="BN488" i="1"/>
  <c r="BF488" i="1"/>
  <c r="BE488" i="1"/>
  <c r="BD488" i="1"/>
  <c r="BC488" i="1"/>
  <c r="AZ488" i="1" l="1"/>
  <c r="AU488" i="1"/>
  <c r="AN488" i="1"/>
  <c r="AL488" i="1"/>
  <c r="AK488" i="1"/>
  <c r="Y488" i="1"/>
  <c r="W488" i="1"/>
  <c r="N488" i="1"/>
  <c r="L488" i="1"/>
  <c r="B292" i="1" l="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5" i="1"/>
  <c r="B234" i="1"/>
  <c r="B233" i="1"/>
  <c r="B236"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199" i="1" l="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0" i="1"/>
  <c r="B171"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81"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C106" i="1"/>
  <c r="B106" i="1"/>
  <c r="A106" i="1"/>
  <c r="C105" i="1"/>
  <c r="B105" i="1"/>
  <c r="A105" i="1"/>
  <c r="C104" i="1"/>
  <c r="B104" i="1"/>
  <c r="A104" i="1"/>
  <c r="C103" i="1"/>
  <c r="B103" i="1"/>
  <c r="A103" i="1"/>
  <c r="C102" i="1"/>
  <c r="B102" i="1"/>
  <c r="A102" i="1"/>
  <c r="C101" i="1"/>
  <c r="B101" i="1"/>
  <c r="A101" i="1"/>
  <c r="C100" i="1"/>
  <c r="B100" i="1"/>
  <c r="A100" i="1"/>
  <c r="C99" i="1"/>
  <c r="B99" i="1"/>
  <c r="A99" i="1"/>
  <c r="C98" i="1"/>
  <c r="B98" i="1"/>
  <c r="A98" i="1"/>
  <c r="C97" i="1"/>
  <c r="B97" i="1"/>
  <c r="A97" i="1"/>
  <c r="C96" i="1"/>
  <c r="B96" i="1"/>
  <c r="A96" i="1"/>
  <c r="C95" i="1"/>
  <c r="B95" i="1"/>
  <c r="A95" i="1"/>
  <c r="C94" i="1"/>
  <c r="B94" i="1"/>
  <c r="A94" i="1"/>
  <c r="C93" i="1"/>
  <c r="B93" i="1"/>
  <c r="A93" i="1"/>
  <c r="C92" i="1"/>
  <c r="B92" i="1"/>
  <c r="A92" i="1"/>
  <c r="C91" i="1"/>
  <c r="B91" i="1"/>
  <c r="A91" i="1"/>
  <c r="C90" i="1"/>
  <c r="B90" i="1"/>
  <c r="A90" i="1"/>
  <c r="C89" i="1"/>
  <c r="B89" i="1"/>
  <c r="A89" i="1"/>
  <c r="C88" i="1"/>
  <c r="B88" i="1"/>
  <c r="A88" i="1"/>
  <c r="C87" i="1"/>
  <c r="B87" i="1"/>
  <c r="A87" i="1"/>
  <c r="C86" i="1"/>
  <c r="B86" i="1"/>
  <c r="A86" i="1"/>
  <c r="C85" i="1"/>
  <c r="B85" i="1"/>
  <c r="A85" i="1"/>
  <c r="C84" i="1"/>
  <c r="B84" i="1"/>
  <c r="A84" i="1"/>
  <c r="C83" i="1"/>
  <c r="B83" i="1"/>
  <c r="A83" i="1"/>
  <c r="C82" i="1"/>
  <c r="B82" i="1"/>
  <c r="A82" i="1"/>
  <c r="C81" i="1"/>
  <c r="B81" i="1"/>
  <c r="C80" i="1"/>
  <c r="B80" i="1"/>
  <c r="A80" i="1"/>
  <c r="C79" i="1"/>
  <c r="B79" i="1"/>
  <c r="A79" i="1"/>
  <c r="C78" i="1"/>
  <c r="B78" i="1"/>
  <c r="A78" i="1"/>
  <c r="A77" i="1"/>
  <c r="B77" i="1"/>
  <c r="C77" i="1"/>
  <c r="C76" i="1"/>
  <c r="B76" i="1"/>
  <c r="A76" i="1"/>
  <c r="C75" i="1"/>
  <c r="B75" i="1"/>
  <c r="A75" i="1"/>
  <c r="C74" i="1"/>
  <c r="B74" i="1"/>
  <c r="A74" i="1"/>
  <c r="C73" i="1"/>
  <c r="B73" i="1"/>
  <c r="A73" i="1"/>
  <c r="C72" i="1"/>
  <c r="B72" i="1"/>
  <c r="A72" i="1"/>
  <c r="C71" i="1"/>
  <c r="B71" i="1"/>
  <c r="A71" i="1"/>
  <c r="C70" i="1"/>
  <c r="B70" i="1"/>
  <c r="A70" i="1"/>
  <c r="C69" i="1"/>
  <c r="B69" i="1"/>
  <c r="A69" i="1"/>
  <c r="C68" i="1"/>
  <c r="B68" i="1"/>
  <c r="A68" i="1"/>
  <c r="C67" i="1"/>
  <c r="B67" i="1"/>
  <c r="A67" i="1"/>
  <c r="C66" i="1"/>
  <c r="B66" i="1"/>
  <c r="A66" i="1"/>
  <c r="C65" i="1"/>
  <c r="B65" i="1"/>
  <c r="A65" i="1"/>
  <c r="C64" i="1"/>
  <c r="B64" i="1"/>
  <c r="A64" i="1"/>
  <c r="C63" i="1"/>
  <c r="B63" i="1"/>
  <c r="A63" i="1"/>
  <c r="C62" i="1"/>
  <c r="B62" i="1"/>
  <c r="A62" i="1"/>
  <c r="C61" i="1"/>
  <c r="B61" i="1"/>
  <c r="A61" i="1"/>
  <c r="C60" i="1"/>
  <c r="B60" i="1"/>
  <c r="A60" i="1"/>
  <c r="C59" i="1"/>
  <c r="B59" i="1"/>
  <c r="A59" i="1"/>
  <c r="C58" i="1"/>
  <c r="B58" i="1"/>
  <c r="A58" i="1"/>
  <c r="C57" i="1"/>
  <c r="B57" i="1"/>
  <c r="A57" i="1"/>
  <c r="C56" i="1"/>
  <c r="B56" i="1"/>
  <c r="A56" i="1"/>
  <c r="C55" i="1"/>
  <c r="B55" i="1"/>
  <c r="A55" i="1"/>
  <c r="C54" i="1"/>
  <c r="B54" i="1"/>
  <c r="A54" i="1"/>
  <c r="C53" i="1"/>
  <c r="B53" i="1"/>
  <c r="A53" i="1"/>
  <c r="C52" i="1"/>
  <c r="B52" i="1"/>
  <c r="A52" i="1"/>
  <c r="C51" i="1"/>
  <c r="B51" i="1"/>
  <c r="A51" i="1"/>
  <c r="C50" i="1"/>
  <c r="B50" i="1"/>
  <c r="A50" i="1"/>
  <c r="C49" i="1"/>
  <c r="B49" i="1"/>
  <c r="A49" i="1"/>
  <c r="C48" i="1"/>
  <c r="B48" i="1"/>
  <c r="A48" i="1"/>
  <c r="C47" i="1"/>
  <c r="B47" i="1"/>
  <c r="A47" i="1"/>
  <c r="C46" i="1"/>
  <c r="B46" i="1"/>
  <c r="A46" i="1"/>
  <c r="C45" i="1"/>
  <c r="B45" i="1"/>
  <c r="A45" i="1"/>
  <c r="C44" i="1"/>
  <c r="B44" i="1"/>
  <c r="A44" i="1"/>
  <c r="C43" i="1"/>
  <c r="B43" i="1"/>
  <c r="A43" i="1"/>
  <c r="C42" i="1"/>
  <c r="B42" i="1"/>
  <c r="A42" i="1"/>
  <c r="C41" i="1"/>
  <c r="B41" i="1"/>
  <c r="A41" i="1"/>
  <c r="C40" i="1"/>
  <c r="B40" i="1"/>
  <c r="A40" i="1"/>
  <c r="C39" i="1"/>
  <c r="B39" i="1"/>
  <c r="A39" i="1"/>
  <c r="C38" i="1"/>
  <c r="B38" i="1"/>
  <c r="A38" i="1"/>
  <c r="C37" i="1"/>
  <c r="B37" i="1"/>
  <c r="A37" i="1"/>
  <c r="C36" i="1"/>
  <c r="B36" i="1"/>
  <c r="A36" i="1"/>
  <c r="C35" i="1"/>
  <c r="B35" i="1"/>
  <c r="A35" i="1"/>
  <c r="C34" i="1"/>
  <c r="B34" i="1"/>
  <c r="A34" i="1"/>
  <c r="C33" i="1"/>
  <c r="B33" i="1"/>
  <c r="A33" i="1"/>
  <c r="C32" i="1"/>
  <c r="B32" i="1"/>
  <c r="A32" i="1"/>
  <c r="C31" i="1"/>
  <c r="B31" i="1"/>
  <c r="A31" i="1"/>
  <c r="C30" i="1"/>
  <c r="B30" i="1"/>
  <c r="A30" i="1"/>
  <c r="C29" i="1"/>
  <c r="B29" i="1"/>
  <c r="A29" i="1"/>
  <c r="C28" i="1"/>
  <c r="B28" i="1"/>
  <c r="A28" i="1"/>
  <c r="C27" i="1"/>
  <c r="B27" i="1"/>
  <c r="A27" i="1"/>
  <c r="A20" i="1"/>
  <c r="C26" i="1"/>
  <c r="C25" i="1"/>
  <c r="C24" i="1"/>
  <c r="C23" i="1"/>
  <c r="B26" i="1"/>
  <c r="B25" i="1"/>
  <c r="B24" i="1"/>
  <c r="B23" i="1"/>
  <c r="A26" i="1"/>
  <c r="A25" i="1"/>
  <c r="A24" i="1"/>
  <c r="A23" i="1"/>
  <c r="C22" i="1"/>
  <c r="B22" i="1"/>
  <c r="A22" i="1"/>
  <c r="C21" i="1"/>
  <c r="B21" i="1"/>
  <c r="A21" i="1"/>
  <c r="C20" i="1"/>
  <c r="B20" i="1"/>
  <c r="C19" i="1"/>
  <c r="B19" i="1"/>
  <c r="A19" i="1"/>
  <c r="C18" i="1"/>
  <c r="B18" i="1"/>
  <c r="A18" i="1"/>
  <c r="C17" i="1"/>
  <c r="B17" i="1"/>
  <c r="A17" i="1"/>
  <c r="DC13" i="1" l="1"/>
  <c r="DB13" i="1"/>
  <c r="DA13" i="1"/>
  <c r="CZ13" i="1"/>
  <c r="CY13" i="1"/>
  <c r="CX13" i="1"/>
  <c r="CW13" i="1"/>
  <c r="CU13" i="1"/>
  <c r="CT13" i="1"/>
  <c r="CE13" i="1"/>
  <c r="CD13" i="1"/>
  <c r="CC13" i="1"/>
  <c r="CB13" i="1"/>
  <c r="CA13" i="1"/>
  <c r="BZ13" i="1"/>
  <c r="BY13" i="1"/>
  <c r="BX13" i="1"/>
  <c r="BW13" i="1"/>
  <c r="BV13" i="1"/>
  <c r="BU13" i="1"/>
  <c r="BT13" i="1"/>
  <c r="BS13" i="1"/>
  <c r="BR13" i="1"/>
  <c r="BW488" i="1"/>
  <c r="BQ13" i="1" l="1"/>
  <c r="F13" i="1"/>
  <c r="C7" i="17" l="1"/>
  <c r="B5" i="17"/>
  <c r="B4" i="17"/>
  <c r="I2" i="17"/>
  <c r="G2" i="17"/>
  <c r="A2" i="17"/>
  <c r="C7" i="15" l="1"/>
  <c r="B5" i="15"/>
  <c r="B4" i="15"/>
  <c r="I2" i="15"/>
  <c r="G2" i="15"/>
  <c r="A2" i="15"/>
  <c r="B297" i="1"/>
  <c r="B296" i="1"/>
  <c r="F6" i="18"/>
  <c r="C7" i="18"/>
  <c r="I2" i="18"/>
  <c r="F2" i="18"/>
  <c r="A2" i="18"/>
  <c r="F6" i="13" l="1"/>
  <c r="C7" i="13"/>
  <c r="B5" i="13"/>
  <c r="B4" i="13"/>
  <c r="I2" i="13"/>
  <c r="G2" i="13"/>
  <c r="A2" i="13"/>
  <c r="H7" i="12"/>
  <c r="C7" i="11"/>
  <c r="CJ488" i="1" l="1"/>
  <c r="H229" i="3"/>
  <c r="J231" i="3" s="1"/>
  <c r="CE488" i="1" s="1"/>
  <c r="J39" i="3"/>
  <c r="AG488" i="1" s="1"/>
  <c r="T488" i="1"/>
  <c r="I477" i="2"/>
  <c r="U302" i="1" l="1"/>
  <c r="L229" i="3"/>
  <c r="J232" i="3" s="1"/>
  <c r="CF488" i="1" s="1"/>
  <c r="C189" i="2"/>
  <c r="F189" i="2"/>
  <c r="I74" i="2" l="1"/>
  <c r="AX13" i="1" s="1"/>
  <c r="I60" i="2"/>
  <c r="AM13" i="1" s="1"/>
  <c r="G60" i="2"/>
  <c r="AL13" i="1" s="1"/>
  <c r="H329" i="2"/>
  <c r="CS13" i="1" s="1"/>
  <c r="N262" i="2"/>
  <c r="CQ13" i="1" s="1"/>
  <c r="K295" i="2"/>
  <c r="CR13" i="1" s="1"/>
  <c r="AB13" i="1" l="1"/>
  <c r="AA13" i="1"/>
  <c r="I76" i="2"/>
  <c r="G74" i="2"/>
  <c r="G76" i="2" l="1"/>
  <c r="AW13" i="1"/>
  <c r="AZ13" i="1"/>
  <c r="J12" i="12"/>
  <c r="J185" i="2"/>
  <c r="CF13" i="1" s="1"/>
  <c r="AY13" i="1" l="1"/>
  <c r="I37" i="11"/>
  <c r="E190" i="2"/>
  <c r="G113" i="3"/>
  <c r="K88" i="3" s="1"/>
  <c r="AW488" i="1" s="1"/>
  <c r="J113" i="3"/>
  <c r="K87" i="3" s="1"/>
  <c r="AV488" i="1" s="1"/>
  <c r="K97" i="3"/>
  <c r="BG488" i="1" s="1"/>
  <c r="J130" i="3"/>
  <c r="BQ488" i="1" s="1"/>
  <c r="F63" i="3"/>
  <c r="J14" i="12" l="1"/>
  <c r="F65" i="3"/>
  <c r="AO488" i="1" s="1"/>
  <c r="AM488" i="1"/>
  <c r="P302" i="1"/>
  <c r="J233" i="3"/>
  <c r="CG488" i="1" s="1"/>
  <c r="K89" i="3"/>
  <c r="A2" i="3"/>
  <c r="I342" i="2"/>
  <c r="DD13" i="1" s="1"/>
  <c r="I332" i="2"/>
  <c r="I333" i="2"/>
  <c r="B2" i="3"/>
  <c r="T2" i="3"/>
  <c r="E488" i="1" l="1"/>
  <c r="F122" i="2"/>
  <c r="F108" i="2"/>
  <c r="F140" i="2"/>
  <c r="F507" i="2"/>
  <c r="F493" i="2"/>
  <c r="F479" i="2"/>
  <c r="F463" i="2"/>
  <c r="F445" i="2"/>
  <c r="F431" i="2"/>
  <c r="G443" i="2" s="1"/>
  <c r="DY13" i="1" s="1"/>
  <c r="F417" i="2"/>
  <c r="F403" i="2"/>
  <c r="F389" i="2"/>
  <c r="F375" i="2"/>
  <c r="F358" i="2"/>
  <c r="F202" i="2"/>
  <c r="F156" i="2"/>
  <c r="F94" i="2"/>
  <c r="G106" i="2" s="1"/>
  <c r="F80" i="2"/>
  <c r="H488" i="1"/>
  <c r="D488" i="1"/>
  <c r="K92" i="3"/>
  <c r="AX488" i="1"/>
  <c r="J187" i="2"/>
  <c r="CG13" i="1" s="1"/>
  <c r="I334" i="2"/>
  <c r="I2" i="3"/>
  <c r="G2" i="3"/>
  <c r="I120" i="2" l="1"/>
  <c r="G120" i="2"/>
  <c r="I134" i="2"/>
  <c r="G134" i="2"/>
  <c r="BE13" i="1"/>
  <c r="I443" i="2"/>
  <c r="DZ13" i="1" s="1"/>
  <c r="K98" i="3"/>
  <c r="BA488" i="1"/>
  <c r="J12" i="11"/>
  <c r="A302" i="1" s="1"/>
  <c r="J188" i="2"/>
  <c r="CH13" i="1" s="1"/>
  <c r="I337" i="2"/>
  <c r="I343" i="2" s="1"/>
  <c r="I347" i="2" s="1"/>
  <c r="DH13" i="1" s="1"/>
  <c r="CV13" i="1"/>
  <c r="I491" i="2"/>
  <c r="EK13" i="1" s="1"/>
  <c r="G491" i="2"/>
  <c r="EJ13" i="1" s="1"/>
  <c r="G476" i="2"/>
  <c r="EG13" i="1" s="1"/>
  <c r="I476" i="2"/>
  <c r="EH13" i="1" s="1"/>
  <c r="I519" i="2"/>
  <c r="EQ13" i="1" s="1"/>
  <c r="G519" i="2"/>
  <c r="EP13" i="1" s="1"/>
  <c r="G505" i="2"/>
  <c r="EM13" i="1" s="1"/>
  <c r="I505" i="2"/>
  <c r="EN13" i="1" s="1"/>
  <c r="G457" i="2"/>
  <c r="EB13" i="1" s="1"/>
  <c r="I457" i="2"/>
  <c r="EC13" i="1" s="1"/>
  <c r="G429" i="2"/>
  <c r="DV13" i="1" s="1"/>
  <c r="I429" i="2"/>
  <c r="DW13" i="1" s="1"/>
  <c r="G415" i="2"/>
  <c r="DS13" i="1" s="1"/>
  <c r="I415" i="2"/>
  <c r="DT13" i="1" s="1"/>
  <c r="I106" i="2"/>
  <c r="I214" i="2"/>
  <c r="H24" i="11" s="1"/>
  <c r="G214" i="2"/>
  <c r="G24" i="11" s="1"/>
  <c r="G401" i="2"/>
  <c r="DP13" i="1" s="1"/>
  <c r="I401" i="2"/>
  <c r="DQ13" i="1" s="1"/>
  <c r="I387" i="2"/>
  <c r="DN13" i="1" s="1"/>
  <c r="G387" i="2"/>
  <c r="DM13" i="1" s="1"/>
  <c r="I24" i="11" l="1"/>
  <c r="BF13" i="1"/>
  <c r="DE13" i="1"/>
  <c r="CM13" i="1"/>
  <c r="CL13" i="1"/>
  <c r="J24" i="11"/>
  <c r="G302" i="1" s="1"/>
  <c r="BH488" i="1"/>
  <c r="I193" i="2"/>
  <c r="CJ13" i="1" s="1"/>
  <c r="G521" i="2"/>
  <c r="I521" i="2"/>
  <c r="H32" i="11" s="1"/>
  <c r="G459" i="2"/>
  <c r="I459" i="2"/>
  <c r="EE13" i="1" l="1"/>
  <c r="H30" i="11"/>
  <c r="ED13" i="1"/>
  <c r="G30" i="11"/>
  <c r="ER13" i="1"/>
  <c r="G32" i="11"/>
  <c r="I32" i="11" s="1"/>
  <c r="ES13" i="1"/>
  <c r="I30" i="11" l="1"/>
  <c r="J30" i="11"/>
  <c r="J302" i="1" s="1"/>
  <c r="I370" i="2"/>
  <c r="H28" i="11" s="1"/>
  <c r="G370" i="2"/>
  <c r="G28" i="11" s="1"/>
  <c r="J32" i="12"/>
  <c r="J22" i="11"/>
  <c r="F302" i="1" s="1"/>
  <c r="J26" i="11"/>
  <c r="H302" i="1" s="1"/>
  <c r="I28" i="11" l="1"/>
  <c r="DK13" i="1"/>
  <c r="DJ13" i="1"/>
  <c r="J32" i="11"/>
  <c r="K302" i="1" s="1"/>
  <c r="J14" i="11"/>
  <c r="B302" i="1" s="1"/>
  <c r="I168" i="2"/>
  <c r="I92" i="2"/>
  <c r="I136" i="2" s="1"/>
  <c r="H16" i="11" s="1"/>
  <c r="BN13" i="1" l="1"/>
  <c r="H20" i="11"/>
  <c r="J28" i="11"/>
  <c r="I302" i="1" s="1"/>
  <c r="BH13" i="1"/>
  <c r="BC13" i="1"/>
  <c r="G92" i="2"/>
  <c r="G136" i="2" s="1"/>
  <c r="G16" i="11" s="1"/>
  <c r="I16" i="11" s="1"/>
  <c r="I152" i="2"/>
  <c r="H18" i="11" s="1"/>
  <c r="G168" i="2"/>
  <c r="G152" i="2"/>
  <c r="BM13" i="1" l="1"/>
  <c r="G20" i="11"/>
  <c r="I20" i="11" s="1"/>
  <c r="J20" i="11" s="1"/>
  <c r="E302" i="1" s="1"/>
  <c r="BJ13" i="1"/>
  <c r="G18" i="11"/>
  <c r="I18" i="11" s="1"/>
  <c r="BK13" i="1"/>
  <c r="BG13" i="1"/>
  <c r="BB13" i="1"/>
  <c r="J18" i="12"/>
  <c r="H34" i="12" l="1"/>
  <c r="R302" i="1" s="1"/>
  <c r="G34" i="11"/>
  <c r="L302" i="1" s="1"/>
  <c r="G34" i="12"/>
  <c r="H34" i="11"/>
  <c r="M302" i="1" s="1"/>
  <c r="J18" i="11"/>
  <c r="D302" i="1" s="1"/>
  <c r="Q302" i="1" l="1"/>
  <c r="J16" i="12"/>
  <c r="J16" i="11"/>
  <c r="C302" i="1" s="1"/>
  <c r="I34" i="12"/>
  <c r="I34" i="11"/>
  <c r="J34" i="11" s="1"/>
  <c r="J34" i="12" l="1"/>
  <c r="T302" i="1" s="1"/>
  <c r="S302" i="1"/>
  <c r="O302" i="1"/>
  <c r="N302" i="1"/>
</calcChain>
</file>

<file path=xl/sharedStrings.xml><?xml version="1.0" encoding="utf-8"?>
<sst xmlns="http://schemas.openxmlformats.org/spreadsheetml/2006/main" count="4663" uniqueCount="1151">
  <si>
    <t xml:space="preserve">Name of Legal Entity </t>
  </si>
  <si>
    <t>Review Level:</t>
  </si>
  <si>
    <t>Review Type:</t>
  </si>
  <si>
    <t>Completed By</t>
  </si>
  <si>
    <t>Date of Entrance</t>
  </si>
  <si>
    <t>Dates of Review Period</t>
  </si>
  <si>
    <t>Last Name:</t>
  </si>
  <si>
    <t>(First day on-site)</t>
  </si>
  <si>
    <t>Begin:</t>
  </si>
  <si>
    <t>First Name:</t>
  </si>
  <si>
    <t>End:</t>
  </si>
  <si>
    <t>Contract Type:</t>
  </si>
  <si>
    <t>STANDARD I. POLICIES AND PROCEDURES</t>
  </si>
  <si>
    <t>Answer</t>
  </si>
  <si>
    <t>Comments:</t>
  </si>
  <si>
    <t>Total Yes</t>
  </si>
  <si>
    <t>Total No</t>
  </si>
  <si>
    <t>Number Yes</t>
  </si>
  <si>
    <t>Number No</t>
  </si>
  <si>
    <t xml:space="preserve">Comments: </t>
  </si>
  <si>
    <t>Standard</t>
  </si>
  <si>
    <t>A.</t>
  </si>
  <si>
    <t>B.</t>
  </si>
  <si>
    <t>C.</t>
  </si>
  <si>
    <t>D.</t>
  </si>
  <si>
    <t xml:space="preserve">Total </t>
  </si>
  <si>
    <t>Score</t>
  </si>
  <si>
    <t>(A + B)</t>
  </si>
  <si>
    <t>(A/C x 100)</t>
  </si>
  <si>
    <t>Standard I</t>
  </si>
  <si>
    <t>Standard II</t>
  </si>
  <si>
    <t>Standard III</t>
  </si>
  <si>
    <t>Standard IV</t>
  </si>
  <si>
    <t>Standard V</t>
  </si>
  <si>
    <t>Standard VI</t>
  </si>
  <si>
    <t>Standard VII</t>
  </si>
  <si>
    <t>Standard VIII</t>
  </si>
  <si>
    <t>Standard IX</t>
  </si>
  <si>
    <t>Sample No.</t>
  </si>
  <si>
    <t>Contract ID</t>
  </si>
  <si>
    <t>Last Name</t>
  </si>
  <si>
    <t>Sample Number</t>
  </si>
  <si>
    <t>Contract Number</t>
  </si>
  <si>
    <t>Last:</t>
  </si>
  <si>
    <t xml:space="preserve">Date Completed </t>
  </si>
  <si>
    <t>First:</t>
  </si>
  <si>
    <t>• prior to hiring or contracting and on a monthly basis;</t>
  </si>
  <si>
    <t>• that includes a search of the federal HHS Office of Inspector General (HHS-OIG) List of Excluded Individuals/Entities (LEIE) website and the Texas HHSC Office of the Inspector General List of Excluded Individuals/Entities (LEIE) website;</t>
  </si>
  <si>
    <t>• prohibits payment for any items or services furnished, ordered, or prescribed by an excluded individual or entity; and</t>
  </si>
  <si>
    <t>Contract No.</t>
  </si>
  <si>
    <t>Date</t>
  </si>
  <si>
    <t>ClientID</t>
  </si>
  <si>
    <t>A</t>
  </si>
  <si>
    <t>B</t>
  </si>
  <si>
    <t>C</t>
  </si>
  <si>
    <t>D</t>
  </si>
  <si>
    <t>E</t>
  </si>
  <si>
    <t>F</t>
  </si>
  <si>
    <t>G</t>
  </si>
  <si>
    <t>H</t>
  </si>
  <si>
    <t>I</t>
  </si>
  <si>
    <t>First Initial</t>
  </si>
  <si>
    <t>Svc Code</t>
  </si>
  <si>
    <t>Svc Begin Date</t>
  </si>
  <si>
    <t>Svc End Date</t>
  </si>
  <si>
    <t>Amount Paid</t>
  </si>
  <si>
    <t>DEMAND FOR PAYMENT NOTICE</t>
  </si>
  <si>
    <t>Contract Type</t>
  </si>
  <si>
    <t>N</t>
  </si>
  <si>
    <t>CBA-OHR</t>
  </si>
  <si>
    <t>3. Does the contractor have a written process for screening employees and contractors for exclusion from participation in Medicare, Medicaid, the State Children’s Health Insurance Program and all Federal health care programs:</t>
  </si>
  <si>
    <t>J</t>
  </si>
  <si>
    <t>K</t>
  </si>
  <si>
    <t>L</t>
  </si>
  <si>
    <t>M</t>
  </si>
  <si>
    <t>O</t>
  </si>
  <si>
    <t>P</t>
  </si>
  <si>
    <t>Q</t>
  </si>
  <si>
    <t>R</t>
  </si>
  <si>
    <t>S</t>
  </si>
  <si>
    <t>T</t>
  </si>
  <si>
    <t>U</t>
  </si>
  <si>
    <t>V</t>
  </si>
  <si>
    <t>W</t>
  </si>
  <si>
    <t>X</t>
  </si>
  <si>
    <t>STANDARD V. AUTHORIZATION TO MANAGE MONEY</t>
  </si>
  <si>
    <t>STANDARD VI. POOLED PETTY CASH FUND RECONCILIATION</t>
  </si>
  <si>
    <t>1.  Does the pooled petty cash fund reconcile as of the date of the monitoring review?</t>
  </si>
  <si>
    <r>
      <rPr>
        <b/>
        <sz val="9"/>
        <color theme="1"/>
        <rFont val="Arial"/>
        <family val="2"/>
      </rPr>
      <t>Petty Cash Fund</t>
    </r>
    <r>
      <rPr>
        <sz val="9"/>
        <color theme="1"/>
        <rFont val="Arial"/>
        <family val="2"/>
      </rPr>
      <t xml:space="preserve"> - The contractor is the petty cash custodian and may transfer a small amount from each individual’s trust fund to a pooled petty cash fund from which to make small, on the spot, payments to the individual. The contractor must keep record of all petty cash fund transactions and reconcile the account at least monthly.</t>
    </r>
  </si>
  <si>
    <t>• Witness a contractor’s representative count the amount of petty cash.  Enter the amounts below.</t>
  </si>
  <si>
    <t>• Enter the petty cash log balance as of the current date.</t>
  </si>
  <si>
    <t>• Total unposted receipts for disbursements, if any. Enter the amount below in “Less: Adjustments, if any”.</t>
  </si>
  <si>
    <t>• Complete the reconciliation below.</t>
  </si>
  <si>
    <t>Petty Cash On Hand as of (enter date):</t>
  </si>
  <si>
    <t>Coins</t>
  </si>
  <si>
    <t>Pennies</t>
  </si>
  <si>
    <t>$Amount</t>
  </si>
  <si>
    <t>Nickels</t>
  </si>
  <si>
    <t>Dimes</t>
  </si>
  <si>
    <t>Quarters</t>
  </si>
  <si>
    <t>Half-Dollars</t>
  </si>
  <si>
    <t>Dollars</t>
  </si>
  <si>
    <t>Total</t>
  </si>
  <si>
    <t>Currency</t>
  </si>
  <si>
    <t>One</t>
  </si>
  <si>
    <t>Five</t>
  </si>
  <si>
    <t>Ten</t>
  </si>
  <si>
    <t>Twenty</t>
  </si>
  <si>
    <t>Fifty</t>
  </si>
  <si>
    <t>Other</t>
  </si>
  <si>
    <t>Petty Cash Reconciliation</t>
  </si>
  <si>
    <t>Less: Adjustments, if any</t>
  </si>
  <si>
    <t>Adjusted Balance per Petty Cash Log</t>
  </si>
  <si>
    <t xml:space="preserve">STANDARD VII. INDIVIDUAL PETTY CASH FUND RECONCILIATION               </t>
  </si>
  <si>
    <t>1.  Does the individual’s petty cash fund reconcile as of the date of the monitoring review?</t>
  </si>
  <si>
    <t>STANDARD VII. INDIVIDUAL PETTY CASH FUND RECONCILIATION</t>
  </si>
  <si>
    <t>STANDARD VIII. POOLED TRUST FUND ACCOUNT RECONCILIATION</t>
  </si>
  <si>
    <t>1. Does the pooled trust fund account balance reconcile to the bank balance as of the date of the monitoring review?</t>
  </si>
  <si>
    <t>• Obtain the most recent trust fund bank account reconciliation, including all pages of the bank statement, ending trial balances and reconciliation worksheets. If the reconciliation is not for the most recent bank statement received, obtain all bank statements received since the last bank reconciliation.</t>
  </si>
  <si>
    <t>• Obtain the checkbook and or check register and deposit slips which reflect activity through the current date.</t>
  </si>
  <si>
    <t>Balance per Bank Statement on (specify date):</t>
  </si>
  <si>
    <t>Add: Deposits in Transit</t>
  </si>
  <si>
    <t>Less: Outstanding Checks</t>
  </si>
  <si>
    <t>(a + b - c)</t>
  </si>
  <si>
    <t>Adjusted Balance per Bank</t>
  </si>
  <si>
    <t>Total Petty Cash On Hand on (specify date):</t>
  </si>
  <si>
    <t>(Include only if petty cash is NOT funded by the facility’s operating account)</t>
  </si>
  <si>
    <t>Total Cash in Bank and On Hand</t>
  </si>
  <si>
    <t>(d + e)</t>
  </si>
  <si>
    <t>Balance per Books (from trial balance) on (specify date):</t>
  </si>
  <si>
    <t>Add: Unapplied Earned Interest (from bank statement)</t>
  </si>
  <si>
    <t>a $</t>
  </si>
  <si>
    <t>b +</t>
  </si>
  <si>
    <t>c (-)</t>
  </si>
  <si>
    <t>d $</t>
  </si>
  <si>
    <t>e $</t>
  </si>
  <si>
    <t>f $</t>
  </si>
  <si>
    <t>g $</t>
  </si>
  <si>
    <t>h +</t>
  </si>
  <si>
    <t>Less: Unposted Receipts for Disbursements</t>
  </si>
  <si>
    <t>i (-)</t>
  </si>
  <si>
    <r>
      <t>Less: NSF Checks –</t>
    </r>
    <r>
      <rPr>
        <i/>
        <sz val="9"/>
        <color theme="1"/>
        <rFont val="Arial"/>
        <family val="2"/>
      </rPr>
      <t>checks deposited to the account that were returned unpaid</t>
    </r>
    <r>
      <rPr>
        <sz val="9"/>
        <color theme="1"/>
        <rFont val="Arial"/>
        <family val="2"/>
      </rPr>
      <t xml:space="preserve"> (from bank statement)</t>
    </r>
  </si>
  <si>
    <t>j (-)</t>
  </si>
  <si>
    <t>Adjusted Balance per Books</t>
  </si>
  <si>
    <t>(g+h-i-j)</t>
  </si>
  <si>
    <t>k $</t>
  </si>
  <si>
    <t>Trust Fund Bank Account Cash in Hand &amp; Bank   Over(+) / Short (-)</t>
  </si>
  <si>
    <t>(f-k)</t>
  </si>
  <si>
    <t>l $</t>
  </si>
  <si>
    <t>CHECKS &amp; DEPOSITS WORKSHEET</t>
  </si>
  <si>
    <t>Check No.</t>
  </si>
  <si>
    <t>Amount</t>
  </si>
  <si>
    <t>Outstanding Checks</t>
  </si>
  <si>
    <t>Deposits in Transit</t>
  </si>
  <si>
    <t>TRUST FUND TRIAL BALANCES WORKSHEET</t>
  </si>
  <si>
    <t>(Use the TRUST FUND TRIAL BALANCES WORKSHEET(s) if no electronic trial balance is available)</t>
  </si>
  <si>
    <t>Initials</t>
  </si>
  <si>
    <t>STANDARD IX. INDIVIDUAL TRUST FUND RECONCILIATION</t>
  </si>
  <si>
    <t>1. Does the individual’s trust fund account balance reconcile to the bank balance as of the date of the monitoring review?</t>
  </si>
  <si>
    <t xml:space="preserve">STANDARD X. MONEY MANAGEMENT   </t>
  </si>
  <si>
    <t>1.  If the pooled trust fund account is in an interest bearing checking account, did the contractor post a prorated earned interest amount to the individual’s ledger?</t>
  </si>
  <si>
    <t>2. Does the facility reimburse bank charges to the trust fund?</t>
  </si>
  <si>
    <t>3. Were all deposits supported by adequate documentation?</t>
  </si>
  <si>
    <t>5. Were all withdrawals allowable?</t>
  </si>
  <si>
    <t>STANDARD X. MONEY MANAGEMENT</t>
  </si>
  <si>
    <t>STANDARD XI. BILLING</t>
  </si>
  <si>
    <t>Overall Totals</t>
  </si>
  <si>
    <t>Standard X</t>
  </si>
  <si>
    <t>Standard XI</t>
  </si>
  <si>
    <t>Policies &amp; Procedures</t>
  </si>
  <si>
    <t>Service Delivery</t>
  </si>
  <si>
    <t>Authorization To Manage Money</t>
  </si>
  <si>
    <t>Pooled Petty Cash Fund Reconciliation</t>
  </si>
  <si>
    <t>Individual Petty Cash Fund Reconciliation</t>
  </si>
  <si>
    <t>Pooled Trust Fund Reconciliation</t>
  </si>
  <si>
    <t>Individual Trust Fund Reconciliation</t>
  </si>
  <si>
    <t>Money Management</t>
  </si>
  <si>
    <t>Billing</t>
  </si>
  <si>
    <t>TOTAL</t>
  </si>
  <si>
    <t>Amount Due to DADS</t>
  </si>
  <si>
    <t>Deficiency Reference</t>
  </si>
  <si>
    <t>$Shortage</t>
  </si>
  <si>
    <t>$Overage</t>
  </si>
  <si>
    <t>Month</t>
  </si>
  <si>
    <t>Deposit Date</t>
  </si>
  <si>
    <t>Withdrawal Date</t>
  </si>
  <si>
    <t>$Refund Due</t>
  </si>
  <si>
    <t>The contractor must submit documentation that evidences individuals’ funds deficiencies have been corrected within 60 days of the date of the exit conference.</t>
  </si>
  <si>
    <t>Workbook Reference</t>
  </si>
  <si>
    <t>Description of Deficiency</t>
  </si>
  <si>
    <t>Corrective Action Required</t>
  </si>
  <si>
    <t>V.1.</t>
  </si>
  <si>
    <t>No written authorization to manage money on file</t>
  </si>
  <si>
    <t>Obtain written authorization from individual. Send copy of authorization to contract manager.</t>
  </si>
  <si>
    <t>VI.1.</t>
  </si>
  <si>
    <t>Pooled petty cash fund overage</t>
  </si>
  <si>
    <t>Pooled petty cash fund shortage</t>
  </si>
  <si>
    <t>Review petty cash log for errors and omissions. If overage or shortage remains, post an adjusting entry in the petty cash log to agree log balance amount with cash on hand.</t>
  </si>
  <si>
    <t>VII.1.</t>
  </si>
  <si>
    <t>Individual petty cash fund overage</t>
  </si>
  <si>
    <t>Individual petty cash fund shortage</t>
  </si>
  <si>
    <t>Review petty cash log for errors and omissions. If overage remains, post an adjusting entry in the petty cash log to agree log balance amount with cash on hand.</t>
  </si>
  <si>
    <t>Review petty cash log for errors and omissions. If shortage remains, deposit funds in the individual’s petty cash fund in the amount of the shortage. Send contract manager copy of the deposit receipt and copy of the individual’s petty cash log showing adjusting entry.</t>
  </si>
  <si>
    <t>VIII.1.</t>
  </si>
  <si>
    <t>Pooled trust fund account overage</t>
  </si>
  <si>
    <t>Pooled trust fund account shortage</t>
  </si>
  <si>
    <t>Review bank statements and trust fund ledgers for errors and omission. If shortage is reconciled, send proof of reconciliation to contract manager. If shortage remains, deposit funds in the pooled trust fund bank account in the amount of the shortage. Send contract manager copy of validated bank deposit slip or bank statement showing the deposit.</t>
  </si>
  <si>
    <t>IX.1.</t>
  </si>
  <si>
    <t>Individual trust fund account overage</t>
  </si>
  <si>
    <t>Individual trust fund account shortage</t>
  </si>
  <si>
    <t>Review bank statement and trust fund ledger for errors and omissions. If overage remains, post an adjusting entry in the individual’s trust fund ledger to agree ledger balance with adjusted bank balance.</t>
  </si>
  <si>
    <t>Review bank statements and trust fund ledger for errors and omissions. If shortage remains, deposit funds in the individual’s trust fund bank account in the amount of the shortage. Send contract manager copy of validated bank deposit slip or bank statement showing deposit and copy of individual’s trust fund ledger showing adjusting entry.</t>
  </si>
  <si>
    <t>X.1.</t>
  </si>
  <si>
    <t>Earned interest on pooled trust fund account not prorated to individuals</t>
  </si>
  <si>
    <t xml:space="preserve">For the months indicated, send contract manager copies of bank statements showing the amount of interest paid on the account and copies of individual ledgers showing interest posted. </t>
  </si>
  <si>
    <t>X.2.</t>
  </si>
  <si>
    <t>Unreimbursed bank charges – pooled trust fund account</t>
  </si>
  <si>
    <t>Unreimbursed bank charges – individual facility-choice trust fund account</t>
  </si>
  <si>
    <t>Deposit funds in the pooled trust fund bank account to reimburse bank charges. Send contract manager copy of validated bank deposit slip or bank statement showing deposit.</t>
  </si>
  <si>
    <t>Deposit funds in the individual’s trust fund bank account to reimburse bank charges. Send contract manager copy of validated bank deposit slip or bank statement showing deposit.</t>
  </si>
  <si>
    <t>X.3.</t>
  </si>
  <si>
    <t>Amount posted to individual’s trust fund ledger or individual petty cash log is less than amount shown on bank deposit slip or petty cash receipt</t>
  </si>
  <si>
    <t>Make an adjusting entry for the amount indicated in the individual’s trust fund ledger or individual petty cash log. Send contract manager copy of individual’s trust fund ledger or petty cash log showing adjustment.</t>
  </si>
  <si>
    <t>X.4.</t>
  </si>
  <si>
    <t>Withdrawal not signed for by individual, individual’s representative or witness</t>
  </si>
  <si>
    <t>No itemized purchase receipt for facility withdrawal for purchase on behalf of individual</t>
  </si>
  <si>
    <t>Purchase receipt for bulk purchase by facility does not indicate amount of charges for individual</t>
  </si>
  <si>
    <t>Amount of withdrawal is more than amount of purchase receipt</t>
  </si>
  <si>
    <t>No written authorization for recurring withdrawal</t>
  </si>
  <si>
    <t>Written authorization for recurring withdrawal does not indicate amount of withdrawal or reason for the withdrawal</t>
  </si>
  <si>
    <t>Amount of withdrawal is less than amount of purchase receipt</t>
  </si>
  <si>
    <t xml:space="preserve">Reimburse individual for the amount indicated. If withdrawal was from a pooled or individual trust fund bank account, send contract manager copy of validated bank deposit slip or bank statement showing deposit and copy of individual’s trust fund ledger showing adjusting entry.  If withdrawal was from individual petty cash fund, send contract manager copy of deposit receipt and copy of individual’s petty cash ledger showing adjusting entry.  </t>
  </si>
  <si>
    <t>Make an adjusting entry for the amount indicated in the individual’s trust fund ledger or individual’s petty cash log.</t>
  </si>
  <si>
    <t>X.5.</t>
  </si>
  <si>
    <t>Unallowable charge - laundry</t>
  </si>
  <si>
    <t>Unallowable charge - first-aid supplies</t>
  </si>
  <si>
    <t>Unallowable charge - transportation to medical appointment/care, shopping for personal needs, recreational activities</t>
  </si>
  <si>
    <t>Unallowable charge - daily meals</t>
  </si>
  <si>
    <t>Unallowable charge - dietary counseling, nutrition education</t>
  </si>
  <si>
    <t>Unallowable charge - housecleaning</t>
  </si>
  <si>
    <t>Unallowable charge - personal care services</t>
  </si>
  <si>
    <t>Unallowable charge - other</t>
  </si>
  <si>
    <t>X.6.</t>
  </si>
  <si>
    <t>Trust fund and/or individual petty cash refund due to deceased or discharged individual</t>
  </si>
  <si>
    <t>XI.3.</t>
  </si>
  <si>
    <t xml:space="preserve">Over collection for room and board. Refund due individual </t>
  </si>
  <si>
    <t>Over collection of co-payment. Refund due individual</t>
  </si>
  <si>
    <t>Refund amount indicated to individual or individual’s legal representative. Send contract manager copy of front and back of cancelled check or signed receipt for cash refund.  If client receives a credit in lieu of a refund,  submit proof the credit in the amount indicated was applied.</t>
  </si>
  <si>
    <t>XI.4.</t>
  </si>
  <si>
    <t>Refund or credit for prorated co-pay due individual for hospital stay</t>
  </si>
  <si>
    <t>Refund amount indicated to individual or individual’s legal representative. Send contract manager copy of front and back of cancelled check or signed receipt for cash refund.  If client receives a credit in lieu of a refund, submit proof the credit in the amount indicated was applied.</t>
  </si>
  <si>
    <t>Refund for unused portion of room and board due to deceased or discharged individual</t>
  </si>
  <si>
    <t>Refund for pro-rated co-pay due to deceased or discharged individual</t>
  </si>
  <si>
    <t>Col. B</t>
  </si>
  <si>
    <t>Col. C</t>
  </si>
  <si>
    <t>Col. E</t>
  </si>
  <si>
    <t>Col. F</t>
  </si>
  <si>
    <t>No. of Units</t>
  </si>
  <si>
    <t>III.1.</t>
  </si>
  <si>
    <t>III.2.</t>
  </si>
  <si>
    <t>IV.1.</t>
  </si>
  <si>
    <t>V. 1. Does the contractor have written authorization to provide or assist the individual with money management?</t>
  </si>
  <si>
    <t xml:space="preserve">STANDARD VII. INDIVIDUAL PETTY CASH FUND RECONCILIATION           </t>
  </si>
  <si>
    <t>VII.1</t>
  </si>
  <si>
    <t>(a) Balance per Petty Cash Log</t>
  </si>
  <si>
    <t>$</t>
  </si>
  <si>
    <t xml:space="preserve"> Less: Adjustments, if any</t>
  </si>
  <si>
    <t>(-)</t>
  </si>
  <si>
    <t xml:space="preserve">(b) Petty Cash on Hand </t>
  </si>
  <si>
    <t>(d) If an Overage/Shortage, was it corrected prior to the exit conference?</t>
  </si>
  <si>
    <t>a</t>
  </si>
  <si>
    <t>b</t>
  </si>
  <si>
    <t>+</t>
  </si>
  <si>
    <t>c</t>
  </si>
  <si>
    <t>-</t>
  </si>
  <si>
    <t>d</t>
  </si>
  <si>
    <t>e</t>
  </si>
  <si>
    <t>f</t>
  </si>
  <si>
    <t>g</t>
  </si>
  <si>
    <t>h</t>
  </si>
  <si>
    <t>i</t>
  </si>
  <si>
    <t>j</t>
  </si>
  <si>
    <t>k</t>
  </si>
  <si>
    <t>l</t>
  </si>
  <si>
    <t>m</t>
  </si>
  <si>
    <t>n</t>
  </si>
  <si>
    <t xml:space="preserve">STANDARD X. MONEY MANAGEMENT </t>
  </si>
  <si>
    <t>(Refer to the Trust Fund Ledger balance at time of death/ discharge +/- adjustments, e.g., earned interest, expenses)</t>
  </si>
  <si>
    <t>(Refer to Petty Cash Log balance at time of death/discharge)</t>
  </si>
  <si>
    <t>(E) Amount Refunded</t>
  </si>
  <si>
    <t>(View cancelled check and/or bank statement to verify)</t>
  </si>
  <si>
    <r>
      <t xml:space="preserve">STANDARD XI. BILLING </t>
    </r>
    <r>
      <rPr>
        <b/>
        <sz val="10"/>
        <color theme="1"/>
        <rFont val="Arial"/>
        <family val="2"/>
      </rPr>
      <t xml:space="preserve"> </t>
    </r>
  </si>
  <si>
    <t>XI.2.</t>
  </si>
  <si>
    <t>(B) No. Days Hospitalized</t>
  </si>
  <si>
    <t>Unused Room &amp; Board</t>
  </si>
  <si>
    <t xml:space="preserve">Prorated Co-Pay </t>
  </si>
  <si>
    <t>b. Unused room and board and, if applicable, co-payment refund were made to individual or the  individual’s representative/beneficiary or escheated to the STATE OF TEXAS</t>
  </si>
  <si>
    <t xml:space="preserve">c. The correct amount was refunded: </t>
  </si>
  <si>
    <t>i. Unused room and board refund was equal to the unused room and board amount due</t>
  </si>
  <si>
    <t>Date:</t>
  </si>
  <si>
    <t>(c) Petty Cash on Hand Over (+)/Short (-)</t>
  </si>
  <si>
    <r>
      <t>VII.1.</t>
    </r>
    <r>
      <rPr>
        <sz val="12"/>
        <color theme="1"/>
        <rFont val="Arial"/>
        <family val="2"/>
      </rPr>
      <t xml:space="preserve">  </t>
    </r>
    <r>
      <rPr>
        <b/>
        <sz val="12"/>
        <color theme="1"/>
        <rFont val="Arial"/>
        <family val="2"/>
      </rPr>
      <t>Does the individual’s petty cash fund reconcile as of the date of the monitoring review?</t>
    </r>
  </si>
  <si>
    <t>Month/Year:</t>
  </si>
  <si>
    <t>Total Amount Interest Not Prorated:</t>
  </si>
  <si>
    <t>Bank Charges Not Reimbursed:</t>
  </si>
  <si>
    <t>INDIVIDUAL TRUST FUND ACCOUNT RECONCILIATION WORKSHEET</t>
  </si>
  <si>
    <t>Add: Total Deposit in Transit</t>
  </si>
  <si>
    <t>Less: Total Outstanding Checks</t>
  </si>
  <si>
    <t>(a+b-c)</t>
  </si>
  <si>
    <t>(d+e)</t>
  </si>
  <si>
    <t>Total Petty Cash On Hand for the Individual on (specify date):</t>
  </si>
  <si>
    <r>
      <t>Less: NSF Checks –</t>
    </r>
    <r>
      <rPr>
        <i/>
        <sz val="10"/>
        <color theme="1"/>
        <rFont val="Arial"/>
        <family val="2"/>
      </rPr>
      <t>checks deposited to the account that were returned unpaid (from bank statement)</t>
    </r>
  </si>
  <si>
    <t>Trust Fund Bank Account Cash in Hand &amp; Bank Over(+) / Short (-)</t>
  </si>
  <si>
    <t>IX.1.  Does the individual’s trust fund account balance reconcile to the bank balance as of the date of the monitoring review?</t>
  </si>
  <si>
    <t>Source</t>
  </si>
  <si>
    <t>Error</t>
  </si>
  <si>
    <t>X.3. Were all deposits supported by adequate documentation?</t>
  </si>
  <si>
    <t>X.4. Were all withdrawals supported by adequate documentation?</t>
  </si>
  <si>
    <t>X.5. Were all withdrawals allowable?</t>
  </si>
  <si>
    <t>(A)Date of Death / Discharge</t>
  </si>
  <si>
    <t>(D) Total Refund Due (b + c)</t>
  </si>
  <si>
    <t>(F) D - E</t>
  </si>
  <si>
    <t>(H) Date of Refund</t>
  </si>
  <si>
    <t>Was the individual discharged or did the individual die during the 12 month review period?</t>
  </si>
  <si>
    <t>c. Was the total refund equal to the total amount due on the date of the individual’s death/discharge?</t>
  </si>
  <si>
    <t>Y</t>
  </si>
  <si>
    <t>(4 or 5)</t>
  </si>
  <si>
    <t>(8 or 9)</t>
  </si>
  <si>
    <t>(21 – 29)</t>
  </si>
  <si>
    <t xml:space="preserve">Date of Death or Discharge </t>
  </si>
  <si>
    <r>
      <t>Review bank statements and trust fund ledgers for errors and omission. If overage is reconciled, send proof of reconciliation to contract manager. If overage remains, escheat funds to the STATE OF TEXAS. Make check payable to DADS and send to Texas Department of Aging and Disability Services, ATTN: Accounts Receivable, Mail Code E-411, 701 W. 51</t>
    </r>
    <r>
      <rPr>
        <vertAlign val="superscript"/>
        <sz val="9"/>
        <color theme="1"/>
        <rFont val="Arial"/>
        <family val="2"/>
      </rPr>
      <t>st</t>
    </r>
    <r>
      <rPr>
        <sz val="9"/>
        <color theme="1"/>
        <rFont val="Arial"/>
        <family val="2"/>
      </rPr>
      <t>, Austin, TX, 78751-2312. Indicate on check money is to “Escheat Consumer Trust Funds.” Enclose completed Escheatment of Consumer Funds form with check. Send contract manager copy of check and completed form.</t>
    </r>
  </si>
  <si>
    <t xml:space="preserve">Unallowable charge - telephone </t>
  </si>
  <si>
    <r>
      <t>Refund amount indicated to individual or individual’s representative. Send contract manager copy of front and back of cancelled check or signed receipt for cash refund. If individual or individual’s representative can not be located, escheat funds to the STATE OF TEXAS. Complete the Escheatment of Consumer Funds form (Form 2032) and make check payable to DADS.  Send Form 2032 and the check to Texas Department of Aging and Disability Services, ATTN: Accounts Receivable, Mail Code E-411, 701 W. 51</t>
    </r>
    <r>
      <rPr>
        <vertAlign val="superscript"/>
        <sz val="9"/>
        <color theme="1"/>
        <rFont val="Arial"/>
        <family val="2"/>
      </rPr>
      <t>st</t>
    </r>
    <r>
      <rPr>
        <sz val="9"/>
        <color theme="1"/>
        <rFont val="Arial"/>
        <family val="2"/>
      </rPr>
      <t>, Austin, TX, 78751-2312. Indicate on check money is to “Escheat Consumer Trust Funds.” Send contract manager copy of check and completed Form 2032.</t>
    </r>
  </si>
  <si>
    <r>
      <t>Refund amount indicated to individual or individual’s representative. Send contract manager copy of front and back of cancelled check or signed receipt for cash refund. If individual or individual’s representative can not be located, escheat funds to the STATE OF TEXAS. Complete the Escheatment of Consumer Funds form (Form 2032) and make check payable to DADS. Send Form 2032 and the check to Texas Department of Aging and Disability Services, ATTN: Accounts Receivable, Mail Code E-411, 701 W. 51</t>
    </r>
    <r>
      <rPr>
        <vertAlign val="superscript"/>
        <sz val="9"/>
        <color theme="1"/>
        <rFont val="Arial"/>
        <family val="2"/>
      </rPr>
      <t>st</t>
    </r>
    <r>
      <rPr>
        <sz val="9"/>
        <color theme="1"/>
        <rFont val="Arial"/>
        <family val="2"/>
      </rPr>
      <t>, Austin, TX, 78751-2312. Indicate on check money is to “Escheat Consumer Trust Funds.” Send contract manager copy of check and completed Form 2032.</t>
    </r>
  </si>
  <si>
    <t>Authorized Amount</t>
  </si>
  <si>
    <t>Actual Amount Paid</t>
  </si>
  <si>
    <t>Verified Units &amp; Rate</t>
  </si>
  <si>
    <t>DADS Reimbursement</t>
  </si>
  <si>
    <t>Co-Pay Owed (To)/From Individual</t>
  </si>
  <si>
    <t>Room &amp; Board Owed (To)/From Individual</t>
  </si>
  <si>
    <t>Service Code</t>
  </si>
  <si>
    <t>Days in Month</t>
  </si>
  <si>
    <t>Amount Paid by DADS                              (Note: This is net of Co-pay)</t>
  </si>
  <si>
    <t>Co-pay Amount          (Note: This may be pro-rated for partial month)</t>
  </si>
  <si>
    <t>Gross Rate Payable All Sources
 (DADS &amp; Co-Pay)
((F  + G) / E)</t>
  </si>
  <si>
    <t xml:space="preserve">Individual Authorized Base Monthly Co-pay          </t>
  </si>
  <si>
    <t xml:space="preserve">Individual Authorized        Monthly R&amp;B             </t>
  </si>
  <si>
    <t xml:space="preserve">Amount Individual Paid for Co-pay  </t>
  </si>
  <si>
    <t xml:space="preserve">Amount Individual Paid for R&amp;B </t>
  </si>
  <si>
    <t>Service Begin Date</t>
  </si>
  <si>
    <t>Service End                Date</t>
  </si>
  <si>
    <t>Y/N</t>
  </si>
  <si>
    <t>Comments</t>
  </si>
  <si>
    <t>Completed by: Enter name of the DADS contract staff that recorded the information on the form</t>
  </si>
  <si>
    <t xml:space="preserve">Column A: </t>
  </si>
  <si>
    <t>Column B:</t>
  </si>
  <si>
    <t>Enter service code</t>
  </si>
  <si>
    <t>Column C:</t>
  </si>
  <si>
    <t xml:space="preserve">Column D: </t>
  </si>
  <si>
    <t xml:space="preserve">Column E: </t>
  </si>
  <si>
    <t>Column F:</t>
  </si>
  <si>
    <t>Billable Units Paid</t>
  </si>
  <si>
    <t>Column G:</t>
  </si>
  <si>
    <t>Refer to Billing Units of Service Respite Table at the following website:</t>
  </si>
  <si>
    <t>Column H:</t>
  </si>
  <si>
    <t>Column I:</t>
  </si>
  <si>
    <t>Column J:</t>
  </si>
  <si>
    <t>Column K:</t>
  </si>
  <si>
    <t>Column L:</t>
  </si>
  <si>
    <t>Enter any comments/explanation you deem necessary.</t>
  </si>
  <si>
    <r>
      <t xml:space="preserve">Name of Legal Entity: </t>
    </r>
    <r>
      <rPr>
        <sz val="10"/>
        <rFont val="Arial Narrow"/>
        <family val="2"/>
      </rPr>
      <t>Enter name of legal entity</t>
    </r>
  </si>
  <si>
    <r>
      <t xml:space="preserve">Contract Number(s): </t>
    </r>
    <r>
      <rPr>
        <sz val="10"/>
        <rFont val="Arial Narrow"/>
        <family val="2"/>
      </rPr>
      <t>Enter contract number(s) associated with the individuals on the sample</t>
    </r>
  </si>
  <si>
    <t>Enter the total amount paid by DADS for the service codes in column "B" for the month in review. If DADS paid more than once during the month for the same service code enter the total amount paid for the month in review. Do not combine different service codes.</t>
  </si>
  <si>
    <t>Column D:</t>
  </si>
  <si>
    <t xml:space="preserve">Column F: </t>
  </si>
  <si>
    <t>Column M:</t>
  </si>
  <si>
    <t>Column N:</t>
  </si>
  <si>
    <t>Column O:</t>
  </si>
  <si>
    <t>Column P:</t>
  </si>
  <si>
    <t>Column Q:</t>
  </si>
  <si>
    <t>Column R:</t>
  </si>
  <si>
    <t>Column S:</t>
  </si>
  <si>
    <t>Column T:</t>
  </si>
  <si>
    <t>Calculated field - Reimbursement Amount Due (To)/From DADS</t>
  </si>
  <si>
    <t>Column U:</t>
  </si>
  <si>
    <t>Column V:</t>
  </si>
  <si>
    <t>Column W:</t>
  </si>
  <si>
    <t>Column X:</t>
  </si>
  <si>
    <t>Room and Board</t>
  </si>
  <si>
    <t>Column Y:</t>
  </si>
  <si>
    <r>
      <t xml:space="preserve">Date Completed: </t>
    </r>
    <r>
      <rPr>
        <sz val="10"/>
        <rFont val="Arial Narrow"/>
        <family val="2"/>
      </rPr>
      <t>Enter the date the information was recorded on the form</t>
    </r>
  </si>
  <si>
    <t>Calculated Field-Gross rate per service code from all payable sources. Total amount paid by DADS (column F) plus co-pay amount (column G) divided by the number of units (days) billed (column E)</t>
  </si>
  <si>
    <t># Units Billed</t>
  </si>
  <si>
    <t xml:space="preserve">Amount Paid by DADS                              </t>
  </si>
  <si>
    <t>Gross Rate  
 ( E / D )</t>
  </si>
  <si>
    <t>Service         End                Date</t>
  </si>
  <si>
    <t>From DADS Reimbursement Spreadsheets</t>
  </si>
  <si>
    <t>RECOUPMENT AMOUNT TOTALS</t>
  </si>
  <si>
    <t xml:space="preserve">Month (1)                                                                                                                              </t>
  </si>
  <si>
    <t xml:space="preserve">Month (2)                                                                                                                              </t>
  </si>
  <si>
    <t>Total Outstanding Checks</t>
  </si>
  <si>
    <t>Total Deposits in Transit</t>
  </si>
  <si>
    <t>CCAD-AFC</t>
  </si>
  <si>
    <t>CBA-AFC</t>
  </si>
  <si>
    <t>STANDARD II. ORIENTATION</t>
  </si>
  <si>
    <t>1.  Was each substitute provider oriented to the individual as required?</t>
  </si>
  <si>
    <t>2.  Was an orientation on fire safety, how to respond to a fire alarm, and how to exit the home in an emergency provided to each new resident within 72 hours of arrival?</t>
  </si>
  <si>
    <t>STANDARD III. SERVICE DELIVERY</t>
  </si>
  <si>
    <t>1.   Were services initiated as required?</t>
  </si>
  <si>
    <t>2.  Are services provided to the individual consistent with the individual’s service plan?</t>
  </si>
  <si>
    <t xml:space="preserve">STANDARD IV. RECORD MAINTENANCE  </t>
  </si>
  <si>
    <t>(See Individual Work Papers for item IV.1)</t>
  </si>
  <si>
    <t>1.  Does the individual’s record include the required documents?</t>
  </si>
  <si>
    <t>1.  Does the contractor have written authorization to provide or assist the individual with money management?</t>
  </si>
  <si>
    <t>VI.1</t>
  </si>
  <si>
    <t>Not calculated in score</t>
  </si>
  <si>
    <t>• If there is a petty cash overage or shortage, ask the contractor to review for errors to determine the cause for the overage or shortage and correct.</t>
  </si>
  <si>
    <t>B. Balance per Petty Cash Log</t>
  </si>
  <si>
    <t>C. Adjusted Balance per Petty Cash Log</t>
  </si>
  <si>
    <t>D. Petty Cash on Hand</t>
  </si>
  <si>
    <t xml:space="preserve">E. Petty Cash on Hand 
Over (+)/Short (-)
</t>
  </si>
  <si>
    <t>A. Total (sum of all coins and cash):</t>
  </si>
  <si>
    <t>F. If an Overage/shortage, was it corrected prior to the exit conference?</t>
  </si>
  <si>
    <t>VIII.1a</t>
  </si>
  <si>
    <t>VIII.1b</t>
  </si>
  <si>
    <t>• If there is a trust fund overage or shortage, ask the contractor to review for errors or determine the cause of any overage or shortage</t>
  </si>
  <si>
    <t>If an overage/shortage, did the contractor correct the overage/shortage prior to the exit conference?</t>
  </si>
  <si>
    <t>If a shortage, was the shortage due solely to un-reimbursed bank service charges for the month immediately preceding the date of reconciliation?</t>
  </si>
  <si>
    <t>4. Were all withdrawals supported by adequate documentation?</t>
  </si>
  <si>
    <t>(See Individual Work Papers for items XI. 1- 4)</t>
  </si>
  <si>
    <t xml:space="preserve">STANDARD III. SERVICE DELIVERY              </t>
  </si>
  <si>
    <t>CCAD AFC</t>
  </si>
  <si>
    <t>a. Services to be initiated as per ”Effective Date” ( F 3671-1, box 5):</t>
  </si>
  <si>
    <t>Does the Daily Census Record (F3251) list the individual as in attendance on the effective date?</t>
  </si>
  <si>
    <t>b. Date services to be initiated as per F 2101:</t>
  </si>
  <si>
    <t xml:space="preserve">Does the Daily Census Record (F3251) list the individual as in attendance on the service initiation date? </t>
  </si>
  <si>
    <t xml:space="preserve">III.1. Were services initiated as required?  </t>
  </si>
  <si>
    <t>o If the individual receives AFC, verify documentation of specified tasks below.</t>
  </si>
  <si>
    <t>III.2. Are services provided to the individual consistent with the individual’s service plan?</t>
  </si>
  <si>
    <t>STANDARD IV. RECORD MAINTENANCE</t>
  </si>
  <si>
    <t>o Review the individual’s record for each applicable document</t>
  </si>
  <si>
    <t xml:space="preserve">a. Client and Provider Agreement (2327) </t>
  </si>
  <si>
    <t>IV.1.  Does the individual’s record include the required documents?</t>
  </si>
  <si>
    <t>V.1</t>
  </si>
  <si>
    <t>o If overarching question V.1 is “Y” and overarching question VII.1 is “Y”, reconcile the individual petty cash fund below.</t>
  </si>
  <si>
    <t>• Witness a contractor’s representative count the amount of petty cash on hand.  Enter the amounts below.</t>
  </si>
  <si>
    <t>• If there is a petty cash overage or shortage, ask the contractor to review for errors to determine the cause for the overage or shortage.</t>
  </si>
  <si>
    <t>IX.1 b</t>
  </si>
  <si>
    <t>IX.1 a</t>
  </si>
  <si>
    <t>o If overarching question IX.1.a is “Y”, continue to overarching question IX.1 b.</t>
  </si>
  <si>
    <t>NOTE: The contractor is required to complete the reconciliation within 10 work days from the date of the exit conference.</t>
  </si>
  <si>
    <t>o If overarching question IX1.b is “Y”, reconcile the individual trust fund account below.</t>
  </si>
  <si>
    <t>o Obtain the most recent trust fund bank account reconciliation, including all pages of the bank statement, ending trial balances and reconciliation worksheets. If the reconciliation is not for the most recent bank statement received, obtain all bank statements received since the last bank reconciliation.</t>
  </si>
  <si>
    <t>o Obtain the checkbook, check register and deposit slips which reflect activity through the current date.</t>
  </si>
  <si>
    <t>o Obtain the individual’s trust fund trial balance through the current date.</t>
  </si>
  <si>
    <t>o Complete the bank reconciliation below. List the total of outstanding checks and the total of deposits in transit.</t>
  </si>
  <si>
    <t>o If there is a trust fund overage or shortage, ask the contractor to review for errors or determine the cause of any overage or shortage.</t>
  </si>
  <si>
    <t>If an Overage/Shortage, did contractor correct prior to the exit conference?</t>
  </si>
  <si>
    <r>
      <t xml:space="preserve">If a Shortage, is it due </t>
    </r>
    <r>
      <rPr>
        <b/>
        <u/>
        <sz val="10"/>
        <rFont val="Arial"/>
        <family val="2"/>
      </rPr>
      <t>solely</t>
    </r>
    <r>
      <rPr>
        <b/>
        <sz val="10"/>
        <rFont val="Arial"/>
        <family val="2"/>
      </rPr>
      <t xml:space="preserve"> to unreimbursed bank service charges for the month immediately preceding the date of reconciliation only?</t>
    </r>
  </si>
  <si>
    <t>o Interest less than .01 does not have to be posted.</t>
  </si>
  <si>
    <t>o Indicate below the month(s) and total amount of interest not prorated. Do not attempt to prorate interest to individual.</t>
  </si>
  <si>
    <t xml:space="preserve">X.1.  If the pooled trust fund account is in an interest bearing checking account, did the contractor post a prorated earned interest amount to the individual’s ledger? </t>
  </si>
  <si>
    <t>o If bank charges are found, review the bank statement for a deposit from the facility to refund previous bank charges.</t>
  </si>
  <si>
    <t>X.2. Does the AFC reimburse bank charges to the trust fund?</t>
  </si>
  <si>
    <t>o If overarching question X.3 is “N”, select “NA” for Standard X.3.  Continue to Standard X.4</t>
  </si>
  <si>
    <t>o If overarching question X.3 is “Y”, verify deposits agree with deposit slips/receipt.</t>
  </si>
  <si>
    <t>o For each deposit, there should be documentation of the following: date, amount, source, and balance after deposit.</t>
  </si>
  <si>
    <t>o Compare bank deposit slips and or direct deposits on the trust fund bank statements to the ledger posting to verify the amounts agree. For individuals who only have a petty cash fund, verify receipts for money received from individual, responsible party, family member, etc. agree with deposits posted to the petty cash log.</t>
  </si>
  <si>
    <t>o If overarching question X.4 is “Y”, verify withdrawals agree with written authorization/receipt.</t>
  </si>
  <si>
    <t>o Exclude withdrawals for room and board, co-pay and/or bed hold charges.</t>
  </si>
  <si>
    <t>o For each withdrawal for a non-recurring payment, there should be documentation of the following: date, amount, reason for withdrawal, name of person or entity that accepted the withdrawal, balance after withdrawal, and signature of individual, individual’s representative, or at least one witness if individual or individual’s representative can not sign.</t>
  </si>
  <si>
    <t>• For non-recurring withdrawals, verify each withdrawal is authorized by the individual, individual’s representative, or witness. The signature may be on the individual trust fund ledger, petty cash log or purchase receipt. If the withdrawal is for a purchase by the facility on behalf of the individual, verify there is an itemized receipt for the purchase and that the receipt amount agrees with the posted amount. If the facility withdrawal is for a bulk purchase (multiple individuals), verify there is an itemized receipt that indicates the individual’s portion of the total charge and that amount agrees with the posted amount.</t>
  </si>
  <si>
    <t>• For each recurring withdrawal (such as newspaper or magazine subscriptions), verify there is written authorization by the individual or individual’s representative that indicates the name of the entity to which the recurring payment is made; amount of the recurring payment or method for determining payment amount; and when the payment will begin. A signature is not required on the trust fund or petty cash ledger for authorized recurring payments.</t>
  </si>
  <si>
    <t>o If overarching question X.4 is “Y”, verify withdrawals were allowable.</t>
  </si>
  <si>
    <t>o For the withdrawals identified in X.4, does documentation indicate the withdrawals were NOT for charges for required services or other wise NOT allowable?</t>
  </si>
  <si>
    <t>o Required services include: laundry; telephone; first-aid supplies; transportation to medical appointments/care; shopping, and recreational activities; daily meals, dietary counseling/nutrition education; housecleaning; and personal care services such as bathing, dressing, grooming, routine hair/skin care, exercising, toileting, administering medication, transferring/ambulating, and 24 hour supervision.</t>
  </si>
  <si>
    <t>o If overarching question X.6 is “Y”, determine if the contractor refunded the individual’s trust account below.</t>
  </si>
  <si>
    <t>a. Was the date of the trust fund account refund within five work days of the individual’s date of death/discharge?</t>
  </si>
  <si>
    <t>b. Was the trust fund account refund made to the individual or the individual’s representative/guardian or escheated to the STATE OF TEXAS?</t>
  </si>
  <si>
    <t>(G) Refund made to: Name of individual’s representative or guardian. If not identified in the individual’s file, enter State of Texas.</t>
  </si>
  <si>
    <t>AFC</t>
  </si>
  <si>
    <t>o If the individual receives AFC, refer to the AFC Reimbursement Spreadsheet.</t>
  </si>
  <si>
    <t>(A) Date Hospitalized</t>
  </si>
  <si>
    <t>(Refer to column “X”, AFC Reimbursement Spreadsheet)</t>
  </si>
  <si>
    <t>A. Date of Death/Discharge</t>
  </si>
  <si>
    <t>B. Amount Due</t>
  </si>
  <si>
    <t>C. Amount Refunded</t>
  </si>
  <si>
    <t>D. Date of Refund</t>
  </si>
  <si>
    <t>E. Amount Due</t>
  </si>
  <si>
    <t>(Refer to column “U”, AFC Reimbursement Spreadsheet)</t>
  </si>
  <si>
    <t>F. Amount Refunded</t>
  </si>
  <si>
    <t>G. Date of Refund</t>
  </si>
  <si>
    <r>
      <t xml:space="preserve">H. Individual’s representative - </t>
    </r>
    <r>
      <rPr>
        <sz val="10"/>
        <color theme="1"/>
        <rFont val="Arial"/>
        <family val="2"/>
      </rPr>
      <t>if unidentified in the individual’s file, enter STATE OF TEXAS:</t>
    </r>
  </si>
  <si>
    <t>o If overarching question X.6 is “Y”, complete the table below</t>
  </si>
  <si>
    <t>a. Date of refund of unused room and board and, if applicable, co-payment was within 30 days of the individual’s death/discharge</t>
  </si>
  <si>
    <t>ii. Co-pay refund, if applicable, was equal to the co pay amount due</t>
  </si>
  <si>
    <t>CCAD ONLY</t>
  </si>
  <si>
    <t>AFC COMPLIANCE SUMMARY</t>
  </si>
  <si>
    <t>Orientation</t>
  </si>
  <si>
    <t>Record Maintenance</t>
  </si>
  <si>
    <t>OUT OF HOME COMPLIANCE SUMMARY</t>
  </si>
  <si>
    <t>AFC Individuals’ Funds Summary</t>
  </si>
  <si>
    <t xml:space="preserve">List of AFC Individuals’ Funds Deficiencies and Required Corrective Action </t>
  </si>
  <si>
    <t>ADULT FOSTER CARE (AFC) REIMBURSEMENT SPREADSHEET</t>
  </si>
  <si>
    <t>(From Contractor's documentation)</t>
  </si>
  <si>
    <t>Billable Units DADS and Co-pay</t>
  </si>
  <si>
    <t>Billable Units R&amp;B</t>
  </si>
  <si>
    <t>ADULT FOSTER CARE (AFC) -  DADS REIMBURSEMENT, CO-PAY, ROOM &amp; BOARD SPREADSHEET</t>
  </si>
  <si>
    <t>Actual Due by DADS 
After Co-pay 
( O * M ) - T</t>
  </si>
  <si>
    <t>Number of Units (over)/under Billed to DADS
 ( M - E )</t>
  </si>
  <si>
    <t>Reimbursement Amount Due (To)/From DADS                         ( P - F)</t>
  </si>
  <si>
    <t>Actual Co-pay Due                        ((I / D) * M)</t>
  </si>
  <si>
    <t>Co-pay Due (To)/From Individual                ( T - K )</t>
  </si>
  <si>
    <t>Actual R&amp;B Due            ((J / D) * N)</t>
  </si>
  <si>
    <t>ADULT FOSTER CARE (AFC) REIMBURSEMENT SPREADSHEET INSTRUCTIONS</t>
  </si>
  <si>
    <t>Name of Legal Entity: Enter name of legal entity</t>
  </si>
  <si>
    <t>Adult Foster care</t>
  </si>
  <si>
    <t>Enter the number of days in the month of review</t>
  </si>
  <si>
    <t>Enter the total  number of units (days) billed for the service codes in column "B" for the month in review. If DADS paid more than once during the month for the same service code enter the total number of units billed for the month in review</t>
  </si>
  <si>
    <t>Enter the co-pay amount the individual paid the contractor for the month in review. Review contractor's documentation to verify co-pay amount.</t>
  </si>
  <si>
    <t xml:space="preserve">Enter the amount the individual paid the contractor for R&amp;B. Review contractor's documentation to verify R&amp;B amount </t>
  </si>
  <si>
    <t>If the contractor manages the individual trust fund account, review the individual's trust fund ledger and confirm that the R&amp;B amount withdrawn matches the contractor's "Room &amp; Board and Co-Pay Ledger" or equivalent. If the authorized amount does not match the amount withdrawn from the trust fund account, enter the R&amp;B amount from the individual's trust fund ledger in column "K"</t>
  </si>
  <si>
    <t>If the contractor does not manage the individual trust fund account, review the contractor's "Room &amp; Board and Co-pay Ledger" or equivalent and enter this amount in column "L".</t>
  </si>
  <si>
    <t>To calculate billable units (days) for DADS/co-pay include all days the individual was present at the home and if applicable,</t>
  </si>
  <si>
    <t>· Include the day of death</t>
  </si>
  <si>
    <t>· Exclude the day the individual was discharged from the AFC</t>
  </si>
  <si>
    <t>· Exclude the day the individual entered the hospital/emergency care</t>
  </si>
  <si>
    <t>· Exclude the day(s) the individual stayed at the hospital/emergency care</t>
  </si>
  <si>
    <t>· Include the day the individual returned to the AFC from the hospital</t>
  </si>
  <si>
    <t>· Include up to 14 days of personal leave days (14 days is the maximum number of days allowed in a calendar year)</t>
  </si>
  <si>
    <t>· Include the day the individual entered the hospital/emergency care</t>
  </si>
  <si>
    <t>· Include the day(s) the individual stayed at the hospital/emergency care</t>
  </si>
  <si>
    <t>· Include personal leave days</t>
  </si>
  <si>
    <t>Note: CBA AFC level 1, 2 or 3 use the same service code 18 even though the reimbursement rates for each level are not the same</t>
  </si>
  <si>
    <t xml:space="preserve">Calculated field - the actual amount due by DADS to contractor after individual's co-pay. Billable rate (column O) times the number of billable units from daily census (column M) minus actual co-pay due by individual (column T). </t>
  </si>
  <si>
    <t>If the contractor billed DADS correctly, the amount in column "R" will be"0"</t>
  </si>
  <si>
    <t xml:space="preserve">If the contractor owes DADS, the amount in column "R" will be negative (in parenthesis). </t>
  </si>
  <si>
    <t>If the contractor billed DADS for less units than the number of units supported by daily census or documentation, the amount in column "R" will be positive</t>
  </si>
  <si>
    <t>Calculated Field - Actual co-pay due by the individual for the month in review. Authorized base monthly co-pay (column I) divided by the number of days in month of review (column D) times the number of billable units (days) from daily census (column M)</t>
  </si>
  <si>
    <t>Calculated field - Co-pay Due (To)/From Individual. Actual co-pay due (column T) minus amount individual paid for co-pay (column K)</t>
  </si>
  <si>
    <t xml:space="preserve">If the contractor billed the individual correctly, the amount in column "U" will be "0" </t>
  </si>
  <si>
    <t>If the contractor owes the individual, the amount in column "U" will be negative (in parenthesis)</t>
  </si>
  <si>
    <t>If the contractor billed the individual less than the authorized base monthly co-pay, the amount in column "U" will be positive</t>
  </si>
  <si>
    <t>Calculated field - Actual Room &amp; Board Due. The individual authorized R&amp;B monthly amount (column J) divided by the number of day in the month (column D) times billable units/days (column N)</t>
  </si>
  <si>
    <t>Calculated field - Amount due (To)/From individual to contractor. The actual R&amp;B due to contractor (column X) minus the amount the individual paid the contractor (column L)</t>
  </si>
  <si>
    <t>If the contractor billed the individual correctly, the amount in column "Y" will be "0"</t>
  </si>
  <si>
    <t>If the contractor billed the individual less than the authorized base monthly R&amp;B, the amount in column "Y" will be positive</t>
  </si>
  <si>
    <t>OUT-OF-HOME RESPITE REIMBURSEMENT SPREADSHEET (AFC)</t>
  </si>
  <si>
    <t>Billable Units</t>
  </si>
  <si>
    <t xml:space="preserve">Billable Units DADS </t>
  </si>
  <si>
    <t>(from Daily Census Record - OHR F3251)</t>
  </si>
  <si>
    <t>Actual Due by DADS                                                                  (F * G)</t>
  </si>
  <si>
    <t>Number of Units (over)/under Billed to DADS 
( G - D )</t>
  </si>
  <si>
    <t>Reimbursement Amount Due (To)/From DADS                       ( H - E)</t>
  </si>
  <si>
    <t>OUT-OF-HOME RESPITE REIMBURSEMENT SPREADSHEET (AFC) INSTRUCTIONS</t>
  </si>
  <si>
    <t>Date(s) of Review: Enter the date(s) the information was entered on the form.</t>
  </si>
  <si>
    <t>Respite Foster Care</t>
  </si>
  <si>
    <t>Enter the total  number of units (days) billed for the service codes in column "B" for the month in review. If DADS paid more than once during the month for the same service code enter the total number of units billed for the month in review.</t>
  </si>
  <si>
    <t>Enter the total amount paid by DADS for the service codes in column "B" for the month in review. If DADS paid more than once during the month for the same service code enter the total amount paid for the month in review.</t>
  </si>
  <si>
    <t>Calculated Field-Gross rate per service code from all payable sources. Total amount paid by DADS (column E) divided by the number of units (days) billed (column D).</t>
  </si>
  <si>
    <t>Enter the number of billable units (days) from daily census record. For OHR review F3251 to determine number of billable units (days) . Include all the days and hours (partial units) the individual was present at the home. If less than one day (24 hours) of respite is provided, the hours of service provided must be converted to a fractional equivalent of a day.</t>
  </si>
  <si>
    <t>http://www.dads.state.tx.us/handbooks/cba/4000/4000.htm#sec4581</t>
  </si>
  <si>
    <t>Calculated field - the actual amount due by DADS to contractor. Billable units from daily census (column G) times the gross rate (column F).</t>
  </si>
  <si>
    <t>Calculated field - Total billable units (column G) minus number of units billed (column D).</t>
  </si>
  <si>
    <t>If the contractor billed DADS correctly, the amount in column "J" will be"0" .</t>
  </si>
  <si>
    <t xml:space="preserve">If the contractor owes DADS, the amount in column "J" will be negative (in parenthesis). </t>
  </si>
  <si>
    <t>If the contractor billed DADS for less units than the number of units supported by daily census or documentation, the amount in column "J" will be positive.</t>
  </si>
  <si>
    <t>Subtotal column "J", Reimbursement Amount Due/From DADS - calculated field. Sum of all amounts due  to DADS (in parenthesis). It does not include amounts due from DADS.</t>
  </si>
  <si>
    <t>SpreadsheetName</t>
  </si>
  <si>
    <t>SpreadsheetVersion</t>
  </si>
  <si>
    <t>ReviewDtOfEntrance</t>
  </si>
  <si>
    <t>AFC_OHR</t>
  </si>
  <si>
    <t>ContractType</t>
  </si>
  <si>
    <t>ContractNumber</t>
  </si>
  <si>
    <t>NameOfLegalEntity</t>
  </si>
  <si>
    <t>ReviewLevel</t>
  </si>
  <si>
    <t>ReviewType</t>
  </si>
  <si>
    <t>CompletedByLastName</t>
  </si>
  <si>
    <t>CompletedByFirstName</t>
  </si>
  <si>
    <t>DtOfEntrance</t>
  </si>
  <si>
    <t>DtOfReviewBegin</t>
  </si>
  <si>
    <t>DtOfReviewEnd</t>
  </si>
  <si>
    <t>Std1dot1</t>
  </si>
  <si>
    <t>Std1dot3</t>
  </si>
  <si>
    <t>Std1Comments</t>
  </si>
  <si>
    <t>Std1TotalYes</t>
  </si>
  <si>
    <t>Std1TotalNo</t>
  </si>
  <si>
    <t>Std2dot1Comments</t>
  </si>
  <si>
    <t>Std2dot1NumberYes</t>
  </si>
  <si>
    <t>Std2dot1NumberNo</t>
  </si>
  <si>
    <t>Std2dot2Comments</t>
  </si>
  <si>
    <t>Std2dot2NumberYes</t>
  </si>
  <si>
    <t>Std2dot2NumberNo</t>
  </si>
  <si>
    <t>Std2TotalYes</t>
  </si>
  <si>
    <t>Std2TotalNo</t>
  </si>
  <si>
    <t>Std3dot1Comments</t>
  </si>
  <si>
    <t>Std3TotalYes</t>
  </si>
  <si>
    <t>Std3TotalNo</t>
  </si>
  <si>
    <t>Std4dot1Comments</t>
  </si>
  <si>
    <t>Std4TotalYes</t>
  </si>
  <si>
    <t>Std4TotalNo</t>
  </si>
  <si>
    <t>Std5dot1Comments</t>
  </si>
  <si>
    <t>Std5TotalYes</t>
  </si>
  <si>
    <t>Std5TotalNo</t>
  </si>
  <si>
    <t>Std6dot1Comments</t>
  </si>
  <si>
    <t>Std7dot1Comments</t>
  </si>
  <si>
    <t>Std7TotalYes</t>
  </si>
  <si>
    <t>Std7TotalNo</t>
  </si>
  <si>
    <t>Std8dot1Comments</t>
  </si>
  <si>
    <t>Std9dot1Comments</t>
  </si>
  <si>
    <t>Std9TotalYes</t>
  </si>
  <si>
    <t>Std9TotalNo</t>
  </si>
  <si>
    <t>Std10dot1Comments</t>
  </si>
  <si>
    <t>Std10dot1NumberYes</t>
  </si>
  <si>
    <t>Std10dot1NumberNo</t>
  </si>
  <si>
    <t>Std10dot2Comments</t>
  </si>
  <si>
    <t>Std10dot2NumberYes</t>
  </si>
  <si>
    <t>Std10dot2NumberNo</t>
  </si>
  <si>
    <t>Std10dot3Comments</t>
  </si>
  <si>
    <t>Std10dot3NumberYes</t>
  </si>
  <si>
    <t>Std10dot3NumberNo</t>
  </si>
  <si>
    <t>Std10TotalYes</t>
  </si>
  <si>
    <t>Std10TotalNo</t>
  </si>
  <si>
    <t>Std11dot1Comments</t>
  </si>
  <si>
    <t>Std11dot1NumberYes</t>
  </si>
  <si>
    <t>Std11dot1NumberNo</t>
  </si>
  <si>
    <t>Std11dot2Comments</t>
  </si>
  <si>
    <t>Std11dot2NumberYes</t>
  </si>
  <si>
    <t>Std11dot2NumberNo</t>
  </si>
  <si>
    <t>Std11dot3Comments</t>
  </si>
  <si>
    <t>Std11dot3NumberYes</t>
  </si>
  <si>
    <t>Std11dot3NumberNo</t>
  </si>
  <si>
    <t>Std11dot4Comments</t>
  </si>
  <si>
    <t>Std11dot4NumberYes</t>
  </si>
  <si>
    <t>Std11dot4NumberNo</t>
  </si>
  <si>
    <t>Std11TotalYes</t>
  </si>
  <si>
    <t>Std11TotalNo</t>
  </si>
  <si>
    <t>CcadAfcContractNumber</t>
  </si>
  <si>
    <t>IcmAfcContractNumber</t>
  </si>
  <si>
    <t>CwpAfcContractNumber</t>
  </si>
  <si>
    <t>CbaOhrContractNumber</t>
  </si>
  <si>
    <t>IcmOhrContractNumber</t>
  </si>
  <si>
    <t>CwpOhrContractNumber</t>
  </si>
  <si>
    <t>Std3dot1NumberYes</t>
  </si>
  <si>
    <t>Std3dot1NumberNo</t>
  </si>
  <si>
    <t>Std3dot2Comments</t>
  </si>
  <si>
    <t>Std3dot2NumberYes</t>
  </si>
  <si>
    <t>Std3dot2NumberNo</t>
  </si>
  <si>
    <t>Std6dot1</t>
  </si>
  <si>
    <t>Std6dot1NotCalc</t>
  </si>
  <si>
    <t>Std8dot1aNotCalc</t>
  </si>
  <si>
    <t>Std8dot1bNotCalc</t>
  </si>
  <si>
    <t>Std8dot1</t>
  </si>
  <si>
    <t>Std6dot1Pennies</t>
  </si>
  <si>
    <t>Std6dot1Nickels</t>
  </si>
  <si>
    <t>Std6dot1Dimes</t>
  </si>
  <si>
    <t>Std6dot1Quarters</t>
  </si>
  <si>
    <t>Std6dot1HalfDollars</t>
  </si>
  <si>
    <t>Std6dot1Dollars</t>
  </si>
  <si>
    <t>Std6dot1Ones</t>
  </si>
  <si>
    <t>Std6dot1Fives</t>
  </si>
  <si>
    <t>Std6dot1Tens</t>
  </si>
  <si>
    <t>Std6dot1Twenties</t>
  </si>
  <si>
    <t>Std6dot1Fifties</t>
  </si>
  <si>
    <t>Std6dot1OtherCurrrency</t>
  </si>
  <si>
    <t>Std6dot1BalPettyCashLog</t>
  </si>
  <si>
    <t>Std6dot1Adjustments</t>
  </si>
  <si>
    <t>Std6dot1AdjustedBal</t>
  </si>
  <si>
    <t>Std6dot1PettyCashOnHand</t>
  </si>
  <si>
    <t>Std6dot1PettyCashOverShort</t>
  </si>
  <si>
    <t>Std6dot1f</t>
  </si>
  <si>
    <t>Std8dot1TotOutstndChks</t>
  </si>
  <si>
    <t>Std8dot1TotDepsInTrans</t>
  </si>
  <si>
    <t>Std8dot1TrstFndTrialBal</t>
  </si>
  <si>
    <t>Std8dot1BankStmtDt</t>
  </si>
  <si>
    <t>Std6dot1CashOnHandDt</t>
  </si>
  <si>
    <t>Std8dot1BankStmtBal</t>
  </si>
  <si>
    <t>Std8dot1AdjBalPerBank</t>
  </si>
  <si>
    <t>Std8dot1TotPtyCshOnHndDt</t>
  </si>
  <si>
    <t>Std8dot1TotPtyCshOnHnd</t>
  </si>
  <si>
    <t>Std8dot1BalPerBksDt</t>
  </si>
  <si>
    <t>Std8dot1BalPerBks</t>
  </si>
  <si>
    <t>Std8dot1RcptsForDsbmnts</t>
  </si>
  <si>
    <t>Std8dot1NsfChks</t>
  </si>
  <si>
    <t>Std8dot1UnapplErndInt</t>
  </si>
  <si>
    <t>Std8dot1AdjBalPerBks</t>
  </si>
  <si>
    <t>Std8dot1AcctOvrShrt</t>
  </si>
  <si>
    <t>Std8dot1m</t>
  </si>
  <si>
    <t>Std8dot1n</t>
  </si>
  <si>
    <t>Std10dot4Comments</t>
  </si>
  <si>
    <t>Std10dot4NumberYes</t>
  </si>
  <si>
    <t>Std10dot4NumberNo</t>
  </si>
  <si>
    <t>Std10dot5Comments</t>
  </si>
  <si>
    <t>Std10dot5NumberYes</t>
  </si>
  <si>
    <t>Std10dot5NumberNo</t>
  </si>
  <si>
    <t>Std10dot6Comments</t>
  </si>
  <si>
    <t>Std10dot6NumberYes</t>
  </si>
  <si>
    <t>Std10dot6NumberNo</t>
  </si>
  <si>
    <t>CheckNo</t>
  </si>
  <si>
    <t>ClientId</t>
  </si>
  <si>
    <t>ClientLastName</t>
  </si>
  <si>
    <t>ClientFirstName</t>
  </si>
  <si>
    <t>DaysInMonth</t>
  </si>
  <si>
    <t>AmountDue</t>
  </si>
  <si>
    <t>Std1Score</t>
  </si>
  <si>
    <t>Std2Score</t>
  </si>
  <si>
    <t>Std3Score</t>
  </si>
  <si>
    <t>Std4Score</t>
  </si>
  <si>
    <t>Std5Score</t>
  </si>
  <si>
    <t>Std6Score</t>
  </si>
  <si>
    <t>Std7Score</t>
  </si>
  <si>
    <t>Std8Score</t>
  </si>
  <si>
    <t>Std9Score</t>
  </si>
  <si>
    <t>Std10Score</t>
  </si>
  <si>
    <t>Std11Score</t>
  </si>
  <si>
    <t>AfcOverallTotalYes</t>
  </si>
  <si>
    <t>AfcOverallTotalNo</t>
  </si>
  <si>
    <t>AfcOverallTotal</t>
  </si>
  <si>
    <t>AfcOverallScore</t>
  </si>
  <si>
    <t>AmountDueDadsAfc</t>
  </si>
  <si>
    <t>OhrOverallTotalYes</t>
  </si>
  <si>
    <t>OhrOverallTotalNo</t>
  </si>
  <si>
    <t>OhrOverallTotal</t>
  </si>
  <si>
    <t>OhrOverallScore</t>
  </si>
  <si>
    <t>AmountDueDadsOhr</t>
  </si>
  <si>
    <t>IwpNumber</t>
  </si>
  <si>
    <t>SampleNumber</t>
  </si>
  <si>
    <t>DtCompleted</t>
  </si>
  <si>
    <t>Std3dot1NotCalc</t>
  </si>
  <si>
    <t>Std3dot1a</t>
  </si>
  <si>
    <t>Std3dot1b</t>
  </si>
  <si>
    <t>Std3dot1</t>
  </si>
  <si>
    <t>Std4dot1a</t>
  </si>
  <si>
    <t>Std4dot1b</t>
  </si>
  <si>
    <t>Std4dot1c</t>
  </si>
  <si>
    <t>Std4dot1</t>
  </si>
  <si>
    <t>Std5dot1</t>
  </si>
  <si>
    <t>Std7dot1NotCalc</t>
  </si>
  <si>
    <t>Std7dot1</t>
  </si>
  <si>
    <t>Std10dot1</t>
  </si>
  <si>
    <t>Std10dot1NotCalc</t>
  </si>
  <si>
    <t>Std10dot2</t>
  </si>
  <si>
    <t>Std10dot3</t>
  </si>
  <si>
    <t>Std11dot1</t>
  </si>
  <si>
    <t>Std11dot2</t>
  </si>
  <si>
    <t>Std11dot3</t>
  </si>
  <si>
    <t>Std11dot4</t>
  </si>
  <si>
    <t>IWP01</t>
  </si>
  <si>
    <t>IWP02</t>
  </si>
  <si>
    <t>IWP03</t>
  </si>
  <si>
    <t>Std3dot2AdditionalTasks</t>
  </si>
  <si>
    <t>Std3dot2Month1</t>
  </si>
  <si>
    <t>Std3dot1aDt</t>
  </si>
  <si>
    <t>Std3dot1bDt</t>
  </si>
  <si>
    <t>Std3dot2Month1Dt</t>
  </si>
  <si>
    <t>Std3dot2Month2</t>
  </si>
  <si>
    <t>Std3dot2Month2Date</t>
  </si>
  <si>
    <t>Std3dot2</t>
  </si>
  <si>
    <t>Std4dot1d</t>
  </si>
  <si>
    <t>Std5NotCalc</t>
  </si>
  <si>
    <t>Std7dot1BalPerCshLog</t>
  </si>
  <si>
    <t>Std7dot1LessAdj</t>
  </si>
  <si>
    <t>Std7dot1AdjBal</t>
  </si>
  <si>
    <t>Std7dot1CshOnHand</t>
  </si>
  <si>
    <t>Std7dot1PtyCshOvrShrt</t>
  </si>
  <si>
    <t>Std7dot1OvrShrtCorr</t>
  </si>
  <si>
    <t>Std9dot1aNotCalc</t>
  </si>
  <si>
    <t>Std9dot1bNotCalc</t>
  </si>
  <si>
    <t>Std9BalPerBnkStmtDt</t>
  </si>
  <si>
    <t>Std9BalPerBnkStmt</t>
  </si>
  <si>
    <t>Std9TotDepsInTrans</t>
  </si>
  <si>
    <t>Std9TotOutsChks</t>
  </si>
  <si>
    <t>Std9AdjBalPerBank</t>
  </si>
  <si>
    <t>Std9TotPtyCshIndvDt</t>
  </si>
  <si>
    <t>Std9TotPtyCshIndv</t>
  </si>
  <si>
    <t>Std9TotCshBnkAndHnd</t>
  </si>
  <si>
    <t>Std9BalPerBksDt</t>
  </si>
  <si>
    <t>Std9BalPerBks</t>
  </si>
  <si>
    <t>Std9UnapplErndInt</t>
  </si>
  <si>
    <t>Std9UnpstdRcptDsbrsmts</t>
  </si>
  <si>
    <t>Std9NsfChks</t>
  </si>
  <si>
    <t>Std9AdjBalPerBks</t>
  </si>
  <si>
    <t>Std9TrstFndAcctOvrShrt</t>
  </si>
  <si>
    <t>Std9OvrShrtCorrctd</t>
  </si>
  <si>
    <t>Std9ShrtUnreimbSvcChg</t>
  </si>
  <si>
    <t>Std9dot1</t>
  </si>
  <si>
    <t>Std10dot1TotalAmt1</t>
  </si>
  <si>
    <t>Std10dot1TotalAmt2</t>
  </si>
  <si>
    <t>Std10dot1Date2</t>
  </si>
  <si>
    <t>Std10dot1Date1</t>
  </si>
  <si>
    <t>Std10dot2NotCalc</t>
  </si>
  <si>
    <t>Std10dot2Date1</t>
  </si>
  <si>
    <t>Std10dot2Date2</t>
  </si>
  <si>
    <t>Std10dot2BankChgs1</t>
  </si>
  <si>
    <t>Std10dot2BankChgs2</t>
  </si>
  <si>
    <t>Std10dot3NotCalc</t>
  </si>
  <si>
    <t>Std10dot4NotCalc</t>
  </si>
  <si>
    <t>Std10dot4</t>
  </si>
  <si>
    <t>Std10dot5</t>
  </si>
  <si>
    <t>Std10dot6NotCalc</t>
  </si>
  <si>
    <t>Std10dot6a</t>
  </si>
  <si>
    <t>Std10dot6b</t>
  </si>
  <si>
    <t>Std10dot6c</t>
  </si>
  <si>
    <t>Std10dot6</t>
  </si>
  <si>
    <t>Std11dot4DtDeathDschg</t>
  </si>
  <si>
    <t>Std11dot4RmBdRfndDt</t>
  </si>
  <si>
    <t>Std11dot4RmBdAmtRfnd</t>
  </si>
  <si>
    <t>Std11dot4RmBdAmtDue</t>
  </si>
  <si>
    <t>Std11dot4CoPayAmtDue</t>
  </si>
  <si>
    <t>Std11dot4CoPayAmtRfnd</t>
  </si>
  <si>
    <t>Std11dot4CoPayRfndDt</t>
  </si>
  <si>
    <t>Std11dot4LstName</t>
  </si>
  <si>
    <t>Std11dot4FrstName</t>
  </si>
  <si>
    <t>Std11dot4a</t>
  </si>
  <si>
    <t>Std11dot4b</t>
  </si>
  <si>
    <t>Std11dot4ci</t>
  </si>
  <si>
    <t>Std11dot4cii</t>
  </si>
  <si>
    <t>IWP04</t>
  </si>
  <si>
    <t>IWP05</t>
  </si>
  <si>
    <t>IWP06</t>
  </si>
  <si>
    <t>IWP07</t>
  </si>
  <si>
    <t>IWP08</t>
  </si>
  <si>
    <t>DepositDt</t>
  </si>
  <si>
    <t>WithdrawalDt</t>
  </si>
  <si>
    <t>DtHosptlzd</t>
  </si>
  <si>
    <t>DaysHosptlzd</t>
  </si>
  <si>
    <t>BedHoldChg</t>
  </si>
  <si>
    <t>CoPayAmtDueIndv</t>
  </si>
  <si>
    <t>PmtDt</t>
  </si>
  <si>
    <t>RfndCrdtDt</t>
  </si>
  <si>
    <t>IndivFundsSummary</t>
  </si>
  <si>
    <t>DfcncyRef</t>
  </si>
  <si>
    <t>SampleNo1</t>
  </si>
  <si>
    <t>SampleNo2</t>
  </si>
  <si>
    <t>SampleNo3</t>
  </si>
  <si>
    <t>SampleNo4</t>
  </si>
  <si>
    <t>SampleNo5</t>
  </si>
  <si>
    <t>SampleNo6</t>
  </si>
  <si>
    <t>SampleNo7</t>
  </si>
  <si>
    <t>Overage</t>
  </si>
  <si>
    <t>Shortage</t>
  </si>
  <si>
    <t>SampleNo</t>
  </si>
  <si>
    <t>WthdrwlDt</t>
  </si>
  <si>
    <t>DthDschgDt</t>
  </si>
  <si>
    <t>RefundDue</t>
  </si>
  <si>
    <t>RfndCrdtDue</t>
  </si>
  <si>
    <t>A response of "Y" means the contractor has met the requirement. "N" means the contractor has not met the requirement.  “NA” means the requirement is not applicable. For any item marked as "N" attach copies of supporting documents. All attachments should be numbered and indicate the applicable Standard and item.</t>
  </si>
  <si>
    <t>o If overarching question VI.1 is “Y”, reconcile the pooled petty cash fund below.</t>
  </si>
  <si>
    <t>o If overarching question VIII.1a is “Y”, continue to question VIII.1b</t>
  </si>
  <si>
    <t>o If overarching question VIII.1b is “Y”, reconcile the pooled trust fund account below.</t>
  </si>
  <si>
    <r>
      <rPr>
        <b/>
        <sz val="10"/>
        <rFont val="Arial"/>
        <family val="2"/>
      </rPr>
      <t>NOTE:</t>
    </r>
    <r>
      <rPr>
        <sz val="10"/>
        <rFont val="Arial"/>
        <family val="2"/>
      </rPr>
      <t xml:space="preserve"> The contractor is required to complete the reconciliation within 10 work days from the date of the exit conference.</t>
    </r>
  </si>
  <si>
    <t>o If overarching question III.1 is “Y”, verify service initiation within the required timeframe below</t>
  </si>
  <si>
    <t>o If overarching question V.1 is “N” then “NA” for Standards V.1, VII.1, IX.1 and X.1 -6</t>
  </si>
  <si>
    <t>o If overarching question V.1 is “Y”, review the individual’s file for written authorization from the individual or his/her representative to authorize the contractor’s assistance with money management</t>
  </si>
  <si>
    <t>o Select "N" if no written authorization is on file.</t>
  </si>
  <si>
    <t>PETTY CASH FUND RECONCILIATION WORKSHEET</t>
  </si>
  <si>
    <t>For each error, indicate below the deposit date, amount, source and an explanation of the deficiency noted (error). For example, “Individual’s trust fund ledger reflects a $25.00 deposit on 4/15/09. The bank deposit slip and April 2010 bank statement show a deposit for $35.00. Questioned amount is $10.00.”                                                                            If no error, leave columns A-D blank.</t>
  </si>
  <si>
    <t>For any error, indicate below the withdrawal date, amount, reason for the withdrawal and an explanation of the deficiency noted (error). For example, “Individual’s trust fund ledger shows withdrawal of $25.00 on 3/15/10 for beauty shop. No signature for withdrawal. Questioned amount is $25.” Or “Individual’s trust fund ledger shows withdrawals of $15.00 on 2/5/10 and 3/5/010 for newspaper subscription. No signed authorization for recurring payment on file. Questioned amount is $30.00.”                                                                                                                                                      If no error, leave columns A-D blank.</t>
  </si>
  <si>
    <t>For any error, include below the withdrawal date and amount and an explanation of the deficiency noted (error). For example, “Individual’s trust fund ledger reflects a $10.00 withdrawal for laundry fee on 3/25/10. Laundry fees are unallowable.”                                                                                                                                                                               If no error, leave columns A-C blank.</t>
  </si>
  <si>
    <t>(B) Trust Fund Amount Due (if not applicable, enter "0")</t>
  </si>
  <si>
    <t>(C) Individual Petty Cash Amount Due (if not applicable, enter "0")</t>
  </si>
  <si>
    <t>(D) Monthly Co-Pay</t>
  </si>
  <si>
    <t>(E) Number of Days in Month</t>
  </si>
  <si>
    <t>(G) Date of Payment Resulting in Refund/Credit</t>
  </si>
  <si>
    <t>(H) Date(s) of Refund/Credit</t>
  </si>
  <si>
    <t>(F) Co-Pay Amount Due to the  Individual
[(D/E)*B] - (C*B)</t>
  </si>
  <si>
    <t xml:space="preserve">Months of Review </t>
  </si>
  <si>
    <t>Amount due (To)/From Individual to contractor                ( W - L )</t>
  </si>
  <si>
    <t>(C) Bed Hold Charge                    (If CBA, enter "0")</t>
  </si>
  <si>
    <t>XaoDmdForPayNoticeTotals</t>
  </si>
  <si>
    <t>XaoComplianceSummaries</t>
  </si>
  <si>
    <t>XaoAfcAuthToMngMoney</t>
  </si>
  <si>
    <t>XaoPldPtyCshFndRcncltn</t>
  </si>
  <si>
    <t>XaoIndvPtyCshFndRcncltn</t>
  </si>
  <si>
    <t>XaoPldTrstFndAcctRcncltn</t>
  </si>
  <si>
    <t>XaoIndvTrstFndRcncltn</t>
  </si>
  <si>
    <t>XaoPrrtdIntPldTrstFndAcct</t>
  </si>
  <si>
    <t>XaoBnkChgsPldTrstFndAcct</t>
  </si>
  <si>
    <t>XaoBnkchgsfcltyIndvTrstFnd</t>
  </si>
  <si>
    <t>XaoDpstsPldTrstFndAcct</t>
  </si>
  <si>
    <t>XaoDpstIdvTstFdOrPtyCshAct</t>
  </si>
  <si>
    <t>XaoUnauthUndocWthdrwls</t>
  </si>
  <si>
    <t>XaoUnallwblWthdrwls</t>
  </si>
  <si>
    <t>XaoTstFndRfndDcsdOrDschdIdv</t>
  </si>
  <si>
    <t>XaoOvrCollRmBdCoPayBdHld</t>
  </si>
  <si>
    <t>XaoCoPyRfdCrdtDueHsptlzdIdv</t>
  </si>
  <si>
    <t>XaoIwpData</t>
  </si>
  <si>
    <t>XaoIwp9dot1OutstdChks</t>
  </si>
  <si>
    <t>XaoIwp9dot1DepstInTransit</t>
  </si>
  <si>
    <t>XaoIwpStd10dot3Deposits</t>
  </si>
  <si>
    <t>XaoIwpStd10dot4Wthdrwls</t>
  </si>
  <si>
    <t>XaoIwpStd10dot5Wthdrwls</t>
  </si>
  <si>
    <t>XaoIwpStd11dot3Billing</t>
  </si>
  <si>
    <t>XaoUnsdRmBdCoPyDueDschdIndv</t>
  </si>
  <si>
    <t>Date of Exit</t>
  </si>
  <si>
    <t>(Last day on-site)</t>
  </si>
  <si>
    <r>
      <t xml:space="preserve">• Obtain each individual’s trust fund trial balance through the current date. If the trust fund is kept manually, list all trust fund participants’ trial balance amount in the </t>
    </r>
    <r>
      <rPr>
        <b/>
        <i/>
        <sz val="10"/>
        <rFont val="Arial"/>
        <family val="2"/>
      </rPr>
      <t>POOLED TRUST FUND RECONCILIATION WORKSHEET</t>
    </r>
    <r>
      <rPr>
        <b/>
        <sz val="10"/>
        <rFont val="Arial"/>
        <family val="2"/>
      </rPr>
      <t xml:space="preserve"> (this will populate Balance per Books below).</t>
    </r>
  </si>
  <si>
    <r>
      <t xml:space="preserve">• Complete the bank reconciliation below. List the total of outstanding checks and the total of deposits in transit in the </t>
    </r>
    <r>
      <rPr>
        <b/>
        <i/>
        <sz val="10"/>
        <rFont val="Arial"/>
        <family val="2"/>
      </rPr>
      <t>POOLED TRUST FUND RECONCILIATION WORKSHEET.</t>
    </r>
  </si>
  <si>
    <t>POOLED TRUST FUND RECONCILIATION WORKSHEET</t>
  </si>
  <si>
    <t>DateOfExit</t>
  </si>
  <si>
    <t>SpreadsheetInfo</t>
  </si>
  <si>
    <t>ContractNumbers</t>
  </si>
  <si>
    <t>MonthlyCoPay</t>
  </si>
  <si>
    <t>CheckDt</t>
  </si>
  <si>
    <t>XaoMonWbkChksDpsts</t>
  </si>
  <si>
    <t>XaoMonWbkDpstsInTrans</t>
  </si>
  <si>
    <t>XaoMonWbkTrstFndTrlBals</t>
  </si>
  <si>
    <t>Std2dot1A</t>
  </si>
  <si>
    <t>Std2dot1B</t>
  </si>
  <si>
    <t>Std2dot1C</t>
  </si>
  <si>
    <t>Std2dot1D</t>
  </si>
  <si>
    <t>Std2dot1E</t>
  </si>
  <si>
    <t>Std2dot1F</t>
  </si>
  <si>
    <t>Std2dot1G</t>
  </si>
  <si>
    <t>Std2dot1H</t>
  </si>
  <si>
    <t>Std2dot2A</t>
  </si>
  <si>
    <t>Std2dot2B</t>
  </si>
  <si>
    <t>Std2dot2C</t>
  </si>
  <si>
    <t>Std2dot2D</t>
  </si>
  <si>
    <t>Std2dot2E</t>
  </si>
  <si>
    <t>Std2dot2F</t>
  </si>
  <si>
    <t>Std2dot2G</t>
  </si>
  <si>
    <t>Std2dot2H</t>
  </si>
  <si>
    <t>XaoMonitoringWbk</t>
  </si>
  <si>
    <r>
      <rPr>
        <b/>
        <sz val="8"/>
        <color theme="1"/>
        <rFont val="Arial"/>
        <family val="2"/>
      </rPr>
      <t>Reference:</t>
    </r>
    <r>
      <rPr>
        <sz val="8"/>
        <color theme="1"/>
        <rFont val="Arial"/>
        <family val="2"/>
      </rPr>
      <t xml:space="preserve">  40 TAC §48. 8907 Provider Responsibilities</t>
    </r>
  </si>
  <si>
    <r>
      <rPr>
        <b/>
        <sz val="8"/>
        <color theme="1"/>
        <rFont val="Arial"/>
        <family val="2"/>
      </rPr>
      <t>Reference:</t>
    </r>
    <r>
      <rPr>
        <sz val="8"/>
        <color theme="1"/>
        <rFont val="Arial"/>
        <family val="2"/>
      </rPr>
      <t xml:space="preserve"> 40 TAC §48.8907 Provider Responsibilities</t>
    </r>
  </si>
  <si>
    <r>
      <rPr>
        <b/>
        <sz val="8"/>
        <color theme="1"/>
        <rFont val="Arial"/>
        <family val="2"/>
      </rPr>
      <t>Reference:</t>
    </r>
    <r>
      <rPr>
        <sz val="8"/>
        <color theme="1"/>
        <rFont val="Arial"/>
        <family val="2"/>
      </rPr>
      <t xml:space="preserve"> 40 TAC §48.8907, Provider Responsibilities</t>
    </r>
  </si>
  <si>
    <t>From Contract Monitoring Claims Report</t>
  </si>
  <si>
    <t>Pre-field - Completed Prior to Entrance (Per Contract Monitoring Claims Report)</t>
  </si>
  <si>
    <t>PRE-FIELD - PER Contract Monitoring Claims Report Information from Contract Monitoring Claims Report is entered in columns "A" through "H" prior to the monitoring review</t>
  </si>
  <si>
    <t>Calculated field - the total number of billable units (column M) minus the number of units billed per Contract Monitoring Claims Report (column E)</t>
  </si>
  <si>
    <t>PRE-FIELD - PER Contract Monitoring Claims Report Information from Contract Monitoring Claims Report is entered in columns "A" through "F" prior to the monitoring review</t>
  </si>
  <si>
    <t>11B</t>
  </si>
  <si>
    <t>Calculated field - Reimbursement Amount Due (To)/From DADS. Actual due by DADS (column H) minus the amount paid by DADS per Contract Monitoring Claims Report (column E).</t>
  </si>
  <si>
    <t>CBA AFC</t>
  </si>
  <si>
    <t>• requires the contractor to immediately self report any exclusion information discovered to HHSC-OIG</t>
  </si>
  <si>
    <r>
      <t xml:space="preserve">To offset the </t>
    </r>
    <r>
      <rPr>
        <b/>
        <i/>
        <sz val="12"/>
        <color theme="1"/>
        <rFont val="Arial"/>
        <family val="2"/>
      </rPr>
      <t>Total Reimbursement Amount Due to DADS</t>
    </r>
    <r>
      <rPr>
        <b/>
        <sz val="12"/>
        <color theme="1"/>
        <rFont val="Arial"/>
        <family val="2"/>
      </rPr>
      <t xml:space="preserve"> the contractor must submit negative bills (by individual) as indicated below within 60 calendar days from the date of the exit conference or if applicable, the date the contractor receives Form 5997.</t>
    </r>
  </si>
  <si>
    <t>1. DADS did not identify a financial error?</t>
  </si>
  <si>
    <t>XI.1. DADS did not identify a financial error?</t>
  </si>
  <si>
    <t>Dates of Monitoring Period</t>
  </si>
  <si>
    <t>• If a new substitute provider was appointed during the monitoring period, verify the substitute was oriented to the individual.</t>
  </si>
  <si>
    <t>• Enter “NA” if a new substitute provider was not appointed during the monitoring period.</t>
  </si>
  <si>
    <t>• Enter “NA” if the individual began receiving services at the AFC home prior to the monitoring period.</t>
  </si>
  <si>
    <t>6. If the individual was discharged or died during the monitoring period, was his/her trust fund account refunded as required?</t>
  </si>
  <si>
    <t>2. For the selected two months of service delivery, did the contractor collect the correct monthly room and board rate and, if applicable, co-payment/or bed hold?</t>
  </si>
  <si>
    <t>3. If the individual was hospitalized during the monitoring period, was a refund or credit for the prorated co-payment amount made to the individual within 70 days after the date of receipt of the payment that resulted in the refund or credit?</t>
  </si>
  <si>
    <t>4. If the individual was discharged or died during the monitoring period, was his/her room and board and co-payment, if applicable, reimbursed as required?</t>
  </si>
  <si>
    <t>OVERARCHING QUESTION
Did the individual enter services during to the monitoring period?</t>
  </si>
  <si>
    <t xml:space="preserve">Select two months from the six month service delivery review period.  For the selected two months of service delivery, do the tasks selected on F3252 /F2214 coincide with the specific tasks (except meal preparation) identified on F2060/F2330? </t>
  </si>
  <si>
    <t>OVERARCHING QUESTION 
Were any deposits made during the selected two months of the service delivery?</t>
  </si>
  <si>
    <t>o Review the individual’s trust fund ledger to identify deposits during the selected two months of service delivery. If the individual only has a petty cash fund/envelope (no trust fund bank account), review the individual’s petty cash log to identify deposits.</t>
  </si>
  <si>
    <t>OVERARCHING QUESTION 
Were withdrawals made during the selected two months of service delivery from the petty cash fund or trust fund ledger?</t>
  </si>
  <si>
    <t>o Review the individual’s trust fund ledger to identify withdrawals during the selected two months of service delivery. If the individual only has a petty cash fund/envelope (no trust fund bank account), review the petty cash log.</t>
  </si>
  <si>
    <t>OVERARCHING QUESTION
Was the individual discharged or did the individual die during the monitoring period?</t>
  </si>
  <si>
    <t>X.6. If the individual was discharged or died during the monitoring period, was his/her trust fund account refunded as required?</t>
  </si>
  <si>
    <t>XI.2. For the selected two months of service delivery, did the contractor collect the correct monthly room and board rate and, if applicable, co-payment and/or bed hold?</t>
  </si>
  <si>
    <t>o If the individual receives AFC, determine if the individual was hospitalized during the monitoring period</t>
  </si>
  <si>
    <t>o Review F2067s/F3251 Daily Census Record (or equivalent) for the monitoring period to determine if the individual was hospitalized during the monitoring period.</t>
  </si>
  <si>
    <t>o If the individual was hospitalized during the monitoring period, complete the table below</t>
  </si>
  <si>
    <t>XI.3.  If the individual was hospitalized during the monitoring period, was a refund or credit for the prorated co-payment amount made to the individual within 70 days after the date of receipt of the payment that resulted in refund or credit?</t>
  </si>
  <si>
    <t>XI. 4. If the individual was discharged or died during the monitoring period was the unused room and board and prorated co-payment, if applicable, refunded/reimbursed as required?</t>
  </si>
  <si>
    <t>First Month</t>
  </si>
  <si>
    <t>Second Month</t>
  </si>
  <si>
    <t>Dates of Fiscal Review</t>
  </si>
  <si>
    <t>o If overarching question X.1 is “Y”, review the individuals ledger for the two months selected in Standard III.2 to verify interest was posted to the ledger.</t>
  </si>
  <si>
    <t>o Using the two months selected in Standard III.2, review the bank statements for each selected month to determine if the facility routinely reimburses bank charges to the individual's account.</t>
  </si>
  <si>
    <t>o Indicate below the selected two month(s) reviewed and enter the amount of bank charges that were not reimbursed to the individual's account.</t>
  </si>
  <si>
    <t>Individual ID</t>
  </si>
  <si>
    <t>Record Review Period
Begin Date</t>
  </si>
  <si>
    <t>Record Review Period
End Date</t>
  </si>
  <si>
    <t xml:space="preserve">Individual ID </t>
  </si>
  <si>
    <t>First Name Initial</t>
  </si>
  <si>
    <t>Indiividual Name</t>
  </si>
  <si>
    <t>Enter the contract number, individual identification number and individual's name (last name, first name initial)</t>
  </si>
  <si>
    <t xml:space="preserve">Enter the contract number, individual identification number </t>
  </si>
  <si>
    <r>
      <rPr>
        <b/>
        <sz val="8"/>
        <color theme="1"/>
        <rFont val="Arial"/>
        <family val="2"/>
      </rPr>
      <t>Reference:</t>
    </r>
    <r>
      <rPr>
        <sz val="8"/>
        <color theme="1"/>
        <rFont val="Arial"/>
        <family val="2"/>
      </rPr>
      <t xml:space="preserve">  40 TAC §48.8903, Substitute Provider Qualifications.</t>
    </r>
  </si>
  <si>
    <r>
      <rPr>
        <b/>
        <sz val="8"/>
        <color theme="1"/>
        <rFont val="Arial"/>
        <family val="2"/>
      </rPr>
      <t>Reference:</t>
    </r>
    <r>
      <rPr>
        <sz val="8"/>
        <color theme="1"/>
        <rFont val="Arial"/>
        <family val="2"/>
      </rPr>
      <t xml:space="preserve">  40 TAC §48.8906, Enrollment and Licensure Requirements</t>
    </r>
  </si>
  <si>
    <r>
      <rPr>
        <b/>
        <sz val="8"/>
        <color theme="1"/>
        <rFont val="Arial"/>
        <family val="2"/>
      </rPr>
      <t>Reference:</t>
    </r>
    <r>
      <rPr>
        <sz val="8"/>
        <color theme="1"/>
        <rFont val="Arial"/>
        <family val="2"/>
      </rPr>
      <t xml:space="preserve">  40 TAC §48.8907 Provider Responsibilities.</t>
    </r>
  </si>
  <si>
    <r>
      <rPr>
        <b/>
        <sz val="8"/>
        <color theme="1"/>
        <rFont val="Arial"/>
        <family val="2"/>
      </rPr>
      <t>Reference:</t>
    </r>
    <r>
      <rPr>
        <sz val="8"/>
        <color theme="1"/>
        <rFont val="Arial"/>
        <family val="2"/>
      </rPr>
      <t xml:space="preserve"> 40 TAC §48.8907, Provider Responsibilities; AFC Information Letter 09-26</t>
    </r>
  </si>
  <si>
    <r>
      <rPr>
        <b/>
        <sz val="8"/>
        <color theme="1"/>
        <rFont val="Arial"/>
        <family val="2"/>
      </rPr>
      <t>Reference:</t>
    </r>
    <r>
      <rPr>
        <sz val="8"/>
        <color theme="1"/>
        <rFont val="Arial"/>
        <family val="2"/>
      </rPr>
      <t xml:space="preserve">  CCAD Case Manager Manual Section 4153; CBA Provider Manual Sections 4236, 4271 &amp; 4272</t>
    </r>
  </si>
  <si>
    <r>
      <rPr>
        <b/>
        <sz val="8"/>
        <color theme="1"/>
        <rFont val="Arial"/>
        <family val="2"/>
      </rPr>
      <t>Reference:</t>
    </r>
    <r>
      <rPr>
        <sz val="8"/>
        <color theme="1"/>
        <rFont val="Arial"/>
        <family val="2"/>
      </rPr>
      <t xml:space="preserve">  CBA Provider Manual Section 4293</t>
    </r>
  </si>
  <si>
    <r>
      <rPr>
        <b/>
        <sz val="8"/>
        <color theme="1"/>
        <rFont val="Arial"/>
        <family val="2"/>
      </rPr>
      <t>Reference:</t>
    </r>
    <r>
      <rPr>
        <sz val="8"/>
        <color theme="1"/>
        <rFont val="Arial"/>
        <family val="2"/>
      </rPr>
      <t xml:space="preserve">  40 TAC §48.8907, Provider Responsibilities</t>
    </r>
  </si>
  <si>
    <t xml:space="preserve">Specified Tasks identified on F2060 (CBA) or F2330(CCAD) (check all that apply) </t>
  </si>
  <si>
    <t>b. CCAD-Notification of Community Care Services (2065-A) or Notification of CBA Waver Services (2065-B)</t>
  </si>
  <si>
    <t>c. CCAD-Authorization for Community Care Services (2101) or CBA- Individual Service Plan (3671-1)</t>
  </si>
  <si>
    <t>d. Consumer Needs Assessment Questionnaire and Task/Hour Guide (CBA - F2060) or CCAD Assessment and Service Plan Approval (F2330)</t>
  </si>
  <si>
    <t>DtMonitoringPdBgn</t>
  </si>
  <si>
    <t>DtMonitoringPdEnd</t>
  </si>
  <si>
    <t>DtFiscalRvwFirst</t>
  </si>
  <si>
    <t>DtFiscalRvwSecond</t>
  </si>
  <si>
    <t>DtOfRevisedExit</t>
  </si>
  <si>
    <t>(Revised)</t>
  </si>
  <si>
    <t xml:space="preserve">   (CBA F2065B, CCAD F2065A)</t>
  </si>
  <si>
    <t>(from Daily Census Record - CBA F3251, CCAD F3251)</t>
  </si>
  <si>
    <t>DADS Authorized Rate                (CBA F3671, CCAD HHSC- RA  Website)</t>
  </si>
  <si>
    <t>Enter the authorized base monthly co-pay. For CBA refer to F2065B, for CCAD refer to F2065A.</t>
  </si>
  <si>
    <t>Enter the authorized room and board monthly amount. For CBA refer to F2065B, for CCAD refer to F2065A.</t>
  </si>
  <si>
    <t xml:space="preserve">Enter the number of billable units (days) from daily census record. For CBA or CCAD review F3251 to determine number of billable units (days). </t>
  </si>
  <si>
    <t>Enter the number of billable units (days) from daily census report. For CBA or CCAD review F3251 to determine number of billable units (days) . To calculate billable units (days) for Individual Room &amp; Board include all days the individual was present at the home and if applicable,</t>
  </si>
  <si>
    <t>Column C: Enter each begin and end date for the two selected months of service delivery during the review period AND any month during the monitoring period in which the individual was absent from the home.</t>
  </si>
  <si>
    <t>Std3dot1c</t>
  </si>
  <si>
    <t>Std3dot1cDt</t>
  </si>
  <si>
    <t>OVERARCHING QUESTON
Did the contractor provide or assist with money management?</t>
  </si>
  <si>
    <t>OVERARCHING QUESTION
Does the contractor maintain an individual petty cash fund?</t>
  </si>
  <si>
    <t>OVERARCHING QUESTION
Did the contractor maintain an individual trust fund?</t>
  </si>
  <si>
    <t>OVERARCHING QUESTION
Did the contractor reconcile the trust fund bank account within the last 90 days?</t>
  </si>
  <si>
    <t>OVERARCHING QUESTION
Does the individual participate in a pooled trust fund that is an interest bearing checking account?</t>
  </si>
  <si>
    <t>o If  overarching question V.1 is “N”, select “NA” for Standard V.1. Answer overarching question X.6 and continue to Standard XI.</t>
  </si>
  <si>
    <t>OVERARCHING QUESTION
Does the individual participate in a pooled trust fund or have a "facility-choice" individual trust fund?</t>
  </si>
  <si>
    <t>o If overarching question X.2 is “Y”, verify bank charges for pooled accounts or facility-choice individual accounts are reimbursed/refunded to the individual’s account.</t>
  </si>
  <si>
    <t>o If the individual receives AFC- Complete the AFC Reimbursement Spreadsheet.</t>
  </si>
  <si>
    <t>• Select "Y" if the amount in Column R of the AFC Reimbursement Spreadsheet is not in parentheses ().</t>
  </si>
  <si>
    <t>• Select "Y" if the amount in Column R of the AFC Reimbursement Spreadsheet is in parentheses () and Column S is “Y”.</t>
  </si>
  <si>
    <t xml:space="preserve">• Select "N" if the amount in Column R of the AFC Reimbursement Spreadsheet is in parentheses () and Column S is “N”.  </t>
  </si>
  <si>
    <t>o Refer to the AFC Reimbursement Spreadsheet columns U, V, X and Y.</t>
  </si>
  <si>
    <t>• Select "Y" if the amounts in Columns U and X (as applicable) are not in parentheses().</t>
  </si>
  <si>
    <t>• Select "Y" if the amounts in Columns U and X (as applicable) are in parentheses() and both Columns V and Y (as applicable) are “Y”.</t>
  </si>
  <si>
    <t>• Select "N" if the amounts in Columns U and X (as applicable) are in parentheses() and either Column V or Y are “N”.</t>
  </si>
  <si>
    <t>(Demand for Payment Notice - Total CCAD-AFC or CBA-AFC recoupment amount as appropriate)</t>
  </si>
  <si>
    <r>
      <rPr>
        <b/>
        <sz val="12"/>
        <color theme="1"/>
        <rFont val="Arial"/>
        <family val="2"/>
      </rPr>
      <t>Amount Due to DADS</t>
    </r>
    <r>
      <rPr>
        <i/>
        <sz val="10"/>
        <color theme="1"/>
        <rFont val="Arial"/>
        <family val="2"/>
      </rPr>
      <t xml:space="preserve">
(Demand for Payment Notice, Total CBA-OHR recoupment amount)</t>
    </r>
  </si>
  <si>
    <t>Applies only if the contractor owes DADS. That is, the amount in column "R" is negative (in parentheses).</t>
  </si>
  <si>
    <t>If the amount due to DADS was negative billed at any time prior to the date of the entrance conference, do not include the amount on the Demand for Payment Notice.</t>
  </si>
  <si>
    <t>Applies only if the contractor owes the individual for co-pay. That is, the amount in column "U" is negative (in parentheses).</t>
  </si>
  <si>
    <t>Enter "Y" if the contractor provides evidence/documentation that the contractor resolved the discrepancy at least three workdays prior to the date of the Entrance Conference.</t>
  </si>
  <si>
    <t>Enter "N" if the contractor does NOT provide evidence/documentation that the contractor resolved the discrepancy at least three workdays prior to the date of the Entrance Conference.</t>
  </si>
  <si>
    <t>If the co-pay due to the individual was corrected at any time prior to the date of the entrance conference, do not include it on the individual funds summary.</t>
  </si>
  <si>
    <t>Applies only if the contractor owes the individual for room and board.  That is, the amount in column "Y" is negative (in parentheses).</t>
  </si>
  <si>
    <t>Enter "Y" if the contractor provides evidence/documentation that the contractor corrected the discrepancy at least three workdays prior to the date of the Entrance Conference.</t>
  </si>
  <si>
    <t>Enter "N" if the contractor does NOT provide evidence/documentation that the discrepancy was corrected at least three workdays prior to the date of the Entrance Conference.</t>
  </si>
  <si>
    <t>If the room &amp; board due to the individual was corrected at any time prior to the date of the entrance conference, do not include it on the individual funds summary.</t>
  </si>
  <si>
    <t>Was Amount Due To the Individual (the amount in parentheses) Corrected at least three workdays Prior to the Date of the Entrance Conference?
Note: If the amount due to the individual was corrected at any time prior to the date of the entrance conference, do not include the amount in column U in the Individual Funds Summary.</t>
  </si>
  <si>
    <t>Was R&amp;B Amount Due To the Individual (the amount in parentheses) Corrected at least three workdays Prior to the Date of the Entrance Conference?
Note: If the amount due to the individual was corrected at any time prior to the date of the entrance conference, do not include the amount in column X in the Individual Funds Summary.</t>
  </si>
  <si>
    <t>Applies only if the contractor owes DADS.  That is, the amount in column "J" is negative (in parentheses).</t>
  </si>
  <si>
    <t>Enter "Y" if the contractor provides evidence/documentation, such as an R&amp;S report, that the contractor negatively billed the amount due to DADS to resolve the discrepancy at least three workdays prior to the Entrance Conference.</t>
  </si>
  <si>
    <t>Enter "N" if the contractor does NOT provide evidence/documentation, such as an R&amp;S report, that the contractor negatively billed the amount due to DADS to resolve the discrepancy at least three workdays prior to the date of the Entrance Conference. Transfer the amount due to DADS to the Demand for Payment Notice in the Contract Monitoring Workbook.</t>
  </si>
  <si>
    <t>Was the amount due to DADS (the amount in parentheses) corrected by negative billing at least three workdays prior to the date of the entrance conference?
Note: If the amount due to DADS was negative billed at any time prior to the date of the entrance conference, do not include the amount in column J in the Demand for Payment Notice.</t>
  </si>
  <si>
    <t xml:space="preserve">Amount Due to DADS </t>
  </si>
  <si>
    <t>If the contractor owes the individual, the amount in column "Y" will be negative (in parentheses)</t>
  </si>
  <si>
    <t>Standard Number</t>
  </si>
  <si>
    <t>Authorization to
Manage Money
(if Item V.1 = N)</t>
  </si>
  <si>
    <t>Pooled Petty
Cash Fund
Reconciliation
(if Item VI.1 = No)</t>
  </si>
  <si>
    <t>Individual Petty
Cash Fund
Reconciliation
(if Item VII.1 = No)</t>
  </si>
  <si>
    <t>Pooled Trust
Fund Account
Reconciliation
(if Item VIII.1 = No)</t>
  </si>
  <si>
    <t>Individual Trust
Fund
Reconciliation
(if Item IX.1 = No)</t>
  </si>
  <si>
    <t>Prorated Interest – Pooled Trust
Fund Account
(if Item X.1. = No)</t>
  </si>
  <si>
    <t>Bank Charges – Pooled Trust
Fund Account
(if Item X.2. = No)</t>
  </si>
  <si>
    <t>Deposits – Pooled Trust
Fund Account
(if Item X.3. = No)</t>
  </si>
  <si>
    <t>Unallowable Withdrawals
(if Item X.5. = No)</t>
  </si>
  <si>
    <t>Trust Fund Refunds
for Deceased or
Discharged Individuals
(if Item X.6. = No)</t>
  </si>
  <si>
    <t>Co-pay Refund or
Credit Due Hospitalized
Individuals
(if Item XI.4. = No)</t>
  </si>
  <si>
    <t>Deficiency
Reference</t>
  </si>
  <si>
    <t>Month/Year #1</t>
  </si>
  <si>
    <t>$Amount for Month/Year #1</t>
  </si>
  <si>
    <t>Month/Year #2</t>
  </si>
  <si>
    <t>$Amount for Month/Year #2</t>
  </si>
  <si>
    <t>Bank Charges – Facility - 
Choice Individual 
Trust Fund Account
(if Item X.2. = No)</t>
  </si>
  <si>
    <t>(14-20)</t>
  </si>
  <si>
    <t>Month/Year</t>
  </si>
  <si>
    <t>(31-32)</t>
  </si>
  <si>
    <t>(34 or 35)</t>
  </si>
  <si>
    <t>$Refund/
Credit Due</t>
  </si>
  <si>
    <t>Unused Room &amp; Board and/or Prorated Co-pay
Due Deceased or Discharged Individuals
(if Item XI.5. = No)</t>
  </si>
  <si>
    <t>Over collection of Room &amp; Board and,
if applicable, Co-pay and/or Bed Hold
(if Item XI.3. = No and a refund is due)</t>
  </si>
  <si>
    <t>Deposits – Individual Trust Fund Account
or Individual Petty Cash Account
(if Item X.3. = No)</t>
  </si>
  <si>
    <t>Unauthorized or Undocumented
Withdrawals
(if Item X.4. = No)</t>
  </si>
  <si>
    <t>Month2</t>
  </si>
  <si>
    <t>AmountMonth2</t>
  </si>
  <si>
    <t>AmountMonth1</t>
  </si>
  <si>
    <t>MonthYear</t>
  </si>
  <si>
    <t>OVERARCHING QUESTION
Does the contractor maintain a pooled trust fund account?</t>
  </si>
  <si>
    <t>OVERARCHING QUESTION
Has the contractor reconciled the trust fund account within the last 90 days?</t>
  </si>
  <si>
    <t>1. Are complaints documented, investigated and resolved within thirty days from the receipt of the complaint?</t>
  </si>
  <si>
    <t>• Review the contractor's log of complaints to verify each of the following:</t>
  </si>
  <si>
    <t>• date of investigation is within thirty days from receipt of the complaint, unless the contractor documented reasonable cause for the delay;</t>
  </si>
  <si>
    <t>• the finding of the investigation; and</t>
  </si>
  <si>
    <t>• resolution of the complaint.</t>
  </si>
  <si>
    <r>
      <rPr>
        <b/>
        <sz val="8"/>
        <color rgb="FF000000"/>
        <rFont val="Arial"/>
        <family val="2"/>
      </rPr>
      <t>Reference:</t>
    </r>
    <r>
      <rPr>
        <sz val="8"/>
        <color rgb="FF000000"/>
        <rFont val="Arial"/>
        <family val="2"/>
      </rPr>
      <t xml:space="preserve"> 40 TAC §49.309 Complaint Process; 40 TAC §48.8907 Provider Responsibilities</t>
    </r>
  </si>
  <si>
    <t>2a. Does the contractor have a policy/procedure for reporting and investigating an allegation of abuse, neglect and exploitation regarding an individual?</t>
  </si>
  <si>
    <t>Review the contractor's policy and procedures related to ANE to verify compliance with the required elements.</t>
  </si>
  <si>
    <t>• comply with applicable laws and rules governing services provided under the contract;</t>
  </si>
  <si>
    <t>• require the contractor to report an allegation of ANE to the appropriate investigative authority;</t>
  </si>
  <si>
    <t>• ensure the contractor's employees, subcontractors, and volunteers are knowledgeable of: acts that constitute ANE, how to report and methods to prevent the occurrence of ANE; and</t>
  </si>
  <si>
    <t>• prohibit the contractor from discharging or retaliating against an individual, employee, subcontractor, volunteer or others.</t>
  </si>
  <si>
    <t>2b. At least annually, did the contractor review incidents of confirmed abuse, neglect or exploitation of which they are notified and identify program process improvements that will prevent reoccurrence and improve service delivery?</t>
  </si>
  <si>
    <r>
      <rPr>
        <b/>
        <sz val="8"/>
        <color theme="1"/>
        <rFont val="Arial"/>
        <family val="2"/>
      </rPr>
      <t>Reference:</t>
    </r>
    <r>
      <rPr>
        <sz val="8"/>
        <color theme="1"/>
        <rFont val="Arial"/>
        <family val="2"/>
      </rPr>
      <t xml:space="preserve"> 40 TAC §49.304 Background Checks</t>
    </r>
  </si>
  <si>
    <t>• For each individual that entered AFC services during the monitoring period, verify the individual was oriented as required.</t>
  </si>
  <si>
    <t>(See Individual Work Papers for items III. 1-4)</t>
  </si>
  <si>
    <t>3. The individual and LAR were informed, orally and in writing, of how to report complaints and allegations of abuse, neglect, or exploitation before service initiation?</t>
  </si>
  <si>
    <t>4. The individual and LAR were informed, orally and in writing, of how to report complaints and allegations of abuse, neglect, or exploitation at least once every 12 months? (Effective 9/1/2014)</t>
  </si>
  <si>
    <t>(See Individual Work Papers for item V.1)</t>
  </si>
  <si>
    <r>
      <t xml:space="preserve">• If “N”, include in the </t>
    </r>
    <r>
      <rPr>
        <i/>
        <sz val="10"/>
        <color theme="1"/>
        <rFont val="Arial"/>
        <family val="2"/>
      </rPr>
      <t>AFC Monitoring Workbook-AFC Individuals’ Funds Summary</t>
    </r>
  </si>
  <si>
    <t>OVERARCHING QUESTION</t>
  </si>
  <si>
    <t>Does the contractor maintain a pooled petty cash fund?</t>
  </si>
  <si>
    <t>o If overarching question VI.1 is “N”, Standard VI.1 is "NA". Continue to Standard VII.1</t>
  </si>
  <si>
    <t>o If "N", include the overage or shortage in the AFC Monitoring Workbook-AFC Individuals’ Funds Summary.</t>
  </si>
  <si>
    <t>(See Individual Work Papers for item VII.1)</t>
  </si>
  <si>
    <t>(See Individual Work Papers for item IX.1)</t>
  </si>
  <si>
    <r>
      <t xml:space="preserve">• If “N”, include the overage or shortage in the </t>
    </r>
    <r>
      <rPr>
        <i/>
        <sz val="10"/>
        <color theme="1"/>
        <rFont val="Arial"/>
        <family val="2"/>
      </rPr>
      <t>AFC Monitoring Workbook-AFC Individuals’ Funds Summary.</t>
    </r>
  </si>
  <si>
    <t>(See Individual Work Papers for items X.1-6)</t>
  </si>
  <si>
    <r>
      <t xml:space="preserve">• If “N”, include the deficiency in the </t>
    </r>
    <r>
      <rPr>
        <i/>
        <sz val="10"/>
        <color theme="1"/>
        <rFont val="Arial"/>
        <family val="2"/>
      </rPr>
      <t>AFC Monitoring Workbook-AFC Individuals’ Funds Summary.</t>
    </r>
  </si>
  <si>
    <r>
      <t xml:space="preserve">Reference: </t>
    </r>
    <r>
      <rPr>
        <sz val="8"/>
        <color theme="1"/>
        <rFont val="Arial"/>
        <family val="2"/>
      </rPr>
      <t>40 TAC §48.8907 Provider Responsibilities</t>
    </r>
  </si>
  <si>
    <t>• If “N”, include the deficiency in the AFC Monitoring Workbook-AFC Individuals’ Funds Summary.</t>
  </si>
  <si>
    <r>
      <rPr>
        <b/>
        <sz val="8"/>
        <color theme="1"/>
        <rFont val="Arial"/>
        <family val="2"/>
      </rPr>
      <t>Reference:</t>
    </r>
    <r>
      <rPr>
        <sz val="8"/>
        <color theme="1"/>
        <rFont val="Arial"/>
        <family val="2"/>
      </rPr>
      <t xml:space="preserve">  CBA Provider Manual Sections 4271, 4273 &amp; 4291; 40 TAC §49.311 Claims Payment</t>
    </r>
  </si>
  <si>
    <t>Comments (enter the sample number of any individual where it appears there may be under-billed units as indicated in the AFC Reimbursement Spreadsheet Column “R”):</t>
  </si>
  <si>
    <r>
      <t xml:space="preserve">• If a refund is due, enter the amount in the </t>
    </r>
    <r>
      <rPr>
        <i/>
        <sz val="10"/>
        <color theme="1"/>
        <rFont val="Arial"/>
        <family val="2"/>
      </rPr>
      <t>AFC Monitoring Workbook-AFC Individuals’ Funds Summary.</t>
    </r>
  </si>
  <si>
    <t>III.3. The individual and LAR were informed, orally and in writing, of how to report complaints and allegations of abuse, neglect, or exploitation before service initiation?</t>
  </si>
  <si>
    <t>i. If entered services during the monitoring period - verify date of notice is prior to or on the date of service initiation; or</t>
  </si>
  <si>
    <t>III.4. The individual and LAR were informed, orally and in writing, of how to report complaints and allegations of abuse, neglect, or exploitation at least once every 12 months? (Effective 9/1/2014)</t>
  </si>
  <si>
    <t>o Select "Y" if notice was given within 12 months of the previous notice</t>
  </si>
  <si>
    <t>o Select "N" if the annual notice was due after 09/01/2014 but the individual and/or LAR were not informed</t>
  </si>
  <si>
    <t>o If "N", include the deficiency in the AFC Monitoring Workbook- AFC Individuals' Funds Summary.</t>
  </si>
  <si>
    <r>
      <t xml:space="preserve">• Include the overage or shortage in the </t>
    </r>
    <r>
      <rPr>
        <i/>
        <sz val="10"/>
        <color theme="1"/>
        <rFont val="Arial"/>
        <family val="2"/>
      </rPr>
      <t>AFC Monitoring Workbook-AFC Individuals’ Funds Summary</t>
    </r>
  </si>
  <si>
    <t>o If "N", include the deficiency in the AFC Monitoring Workbook -AFC Individuals’ Funds Summary.</t>
  </si>
  <si>
    <t>o If "N", include the questioned deposit(s) in the AFC Monitoring Workbook -AFC Individuals’ Funds Summary</t>
  </si>
  <si>
    <t>o If "N", include the questioned withdrawal(s) in the AFC Monitoring Workbook-AFC Individuals’ Funds Summary.</t>
  </si>
  <si>
    <t>o If "N", include the unallowable withdrawal(s) in the AFC Monitoring Workbook-AFC Individuals’ Funds Summary.</t>
  </si>
  <si>
    <r>
      <t xml:space="preserve">• If the contractor owes the individual or individual’s representative or guardian a refund, enter the amount in the </t>
    </r>
    <r>
      <rPr>
        <i/>
        <sz val="10"/>
        <color theme="1"/>
        <rFont val="Arial"/>
        <family val="2"/>
      </rPr>
      <t>AFC Monitoring Workbook-AFC Individuals’ Funds Summary.</t>
    </r>
  </si>
  <si>
    <r>
      <rPr>
        <b/>
        <sz val="10"/>
        <color theme="1"/>
        <rFont val="Arial"/>
        <family val="2"/>
      </rPr>
      <t>NOTE:</t>
    </r>
    <r>
      <rPr>
        <sz val="10"/>
        <color theme="1"/>
        <rFont val="Arial"/>
        <family val="2"/>
      </rPr>
      <t xml:space="preserve"> If a refund was previously made and earned interest posted after the refund is the ONLY refund amount due, do not include in the AFC Monitoring Workbook-AFC Individuals’ Funds Summary.</t>
    </r>
  </si>
  <si>
    <t>o Select two months from the six month review period</t>
  </si>
  <si>
    <t>• If "N", and the contractor has not provided evidence of correction, enter the co-pay and/or room &amp; board refund due in the AFC Monitoring Workbook- AFC Individuals’ Funds Summary.  If the contractor corrected the room &amp; board and/or co-pay refund due at any time prior to the exit, do not enter the amount on the Individual Funds Summary.  Document this correction in the Notes tab.</t>
  </si>
  <si>
    <r>
      <t xml:space="preserve">• If the contractor owes the individual a co-pay refund/credit, enter the amount in the </t>
    </r>
    <r>
      <rPr>
        <i/>
        <sz val="10"/>
        <color theme="1"/>
        <rFont val="Arial"/>
        <family val="2"/>
      </rPr>
      <t>AFC Monitoring Workbook- AFC Individuals’ Funds Summary.  If the contractor corrected the co-pay refund/credit at any time prior to the exit, do not enter the amount on the Individual Funds Summary.  Document this correction in the Notes tab.</t>
    </r>
  </si>
  <si>
    <r>
      <t xml:space="preserve">• If the contractor owes the individual/individual’s representative a refund, enter the amount in the </t>
    </r>
    <r>
      <rPr>
        <i/>
        <sz val="10"/>
        <color theme="1"/>
        <rFont val="Arial"/>
        <family val="2"/>
      </rPr>
      <t>AFC Monitoring Workbook- AFC Individuals’ Funds Summary.  If the contractor corrected the amount at any time prior to the exit, do not enter the amount on the Individual Funds Summary.  Document this correction in the Notes tab.</t>
    </r>
  </si>
  <si>
    <t xml:space="preserve">From DADS Reimb. Spreadsheet Col R  (AFC) </t>
  </si>
  <si>
    <t xml:space="preserve"> </t>
  </si>
  <si>
    <t>Std1dot2a</t>
  </si>
  <si>
    <t>Std1dot2b</t>
  </si>
  <si>
    <t>Std1dot2aComments</t>
  </si>
  <si>
    <t>Std1dot2bComments</t>
  </si>
  <si>
    <t>Std3dot3</t>
  </si>
  <si>
    <t>Std3dot4</t>
  </si>
  <si>
    <r>
      <rPr>
        <b/>
        <sz val="8"/>
        <color theme="1"/>
        <rFont val="Arial"/>
        <family val="2"/>
      </rPr>
      <t>Reference:</t>
    </r>
    <r>
      <rPr>
        <sz val="8"/>
        <color theme="1"/>
        <rFont val="Arial"/>
        <family val="2"/>
      </rPr>
      <t xml:space="preserve">  40 TAC §49.310 Abuse, Neglect, and Exploitation Allegations</t>
    </r>
  </si>
  <si>
    <r>
      <rPr>
        <sz val="10"/>
        <color theme="1"/>
        <rFont val="Arial"/>
        <family val="2"/>
      </rPr>
      <t xml:space="preserve">• Mark "NA" if the contractor has not been notified of any confirmed incidents of abuse, neglect, or exploitation on or after 09/01/2014
• Mark "NA" if the contractor was notified of confirmed abuse, neglect, or exploitation on or after 09/01/2014; however, the annual review is not yet due.
• Mark "Y" if the contractor has been notified of confirmed incidents of abuse, neglect, or exploitation on or after 09/01/2014 and, at least annually, identified program process improvements to prevent reoccurrence and improve service delivery.
</t>
    </r>
    <r>
      <rPr>
        <sz val="8"/>
        <color theme="1"/>
        <rFont val="Arial"/>
        <family val="2"/>
      </rPr>
      <t xml:space="preserve">
</t>
    </r>
    <r>
      <rPr>
        <b/>
        <sz val="8"/>
        <color theme="1"/>
        <rFont val="Arial"/>
        <family val="2"/>
      </rPr>
      <t>Reference:</t>
    </r>
    <r>
      <rPr>
        <sz val="8"/>
        <color theme="1"/>
        <rFont val="Arial"/>
        <family val="2"/>
      </rPr>
      <t xml:space="preserve">  40 TAC §49.310 Abuse, Neglect, and Exploitation Allegations</t>
    </r>
  </si>
  <si>
    <r>
      <rPr>
        <b/>
        <sz val="8"/>
        <color theme="1"/>
        <rFont val="Arial"/>
        <family val="2"/>
      </rPr>
      <t>Reference:</t>
    </r>
    <r>
      <rPr>
        <sz val="8"/>
        <color theme="1"/>
        <rFont val="Arial"/>
        <family val="2"/>
      </rPr>
      <t xml:space="preserve">  40 TAC §49.309 Compliant Process; 40 TAC §49.310 Abuse, Neglect, and Exploitation Allegations.</t>
    </r>
  </si>
  <si>
    <t>Enter the total co-pay amount for the service code in column "B" for the month in review. This amount may be prorated. If the individual paid more than once during the month for the same service code enter the total amount paid by the individual for the month in review. Do not combine different service codes.</t>
  </si>
  <si>
    <t>Enter the authorized rate. For CBA (Level 1, 2 or 3), and for CCAD refer to HHSC, Rate Analysis, Payment Rate Information website at http://www.hhsc.state.tx.us/medicaid/programs/rad/CCADAFC/CcadPmtRates.html</t>
  </si>
  <si>
    <t>Enter "Y" if the contractor provides evidence that the amount was negative billed and successfully processed and finalized prior to receiving the sample.</t>
  </si>
  <si>
    <t>Enter "N" if the contractor does NOT provide evidence that the amount was negative billed and successfully processed and finalized prior to receiving the sample.</t>
  </si>
  <si>
    <t>Was the amount due to DADS (the amount in parentheses) negative billed and successfully processed and finalized prior to receiving the sample?
Note: If the contractor successfully processed and finalized a corrected billing at any time prior to the exit, do not include the amount in column R in the Demand for Payment Notice.</t>
  </si>
  <si>
    <t>ii. If entered service prior to the monitoring period then "NA"
Note: Informing the individual and LAR regarding ANE applies to those individuals who entered services on or after 09/01/2014</t>
  </si>
  <si>
    <t>• If "N", complete the AFC Monitoring Workbook- Demand for Payment Notice.  If the contractor successfully processed and finalized a corrected bill at any time prior to the exit, do not enter the amount on the Demand for Payment.  Indicate on the Notes page that “no recoupment is required; contractor has completed negative billing.</t>
  </si>
  <si>
    <t>4. Does the contractor conduct or contract with an entity to conduct monthly searches of the federal and state Listed of Excluded Individuals/Entities for all employees and contractors and document:</t>
  </si>
  <si>
    <t>Select one month within the monitoring period and ask the contractor to provide evidence of LEIE checks conducted for that month;
   • the date(s) of the searches
   • first and last names and date of birth of all employees and contractors subject
   • whether or not the employee/contractor appeared in databases
   • date any excluded employee/contractor was self-reported to HHSC-OIG
   • copy of self report; and
   • printed name(s) and signature of staff responsible for completing the searches
Select "NA" if AFC provider does not have employees or contractors</t>
  </si>
  <si>
    <r>
      <rPr>
        <b/>
        <sz val="8"/>
        <color theme="1"/>
        <rFont val="Arial"/>
        <family val="2"/>
      </rPr>
      <t>Reference:</t>
    </r>
    <r>
      <rPr>
        <sz val="8"/>
        <color theme="1"/>
        <rFont val="Arial"/>
        <family val="2"/>
      </rPr>
      <t xml:space="preserve"> 40 TAC §49.304 Background Checks; 40 TAC §49.305 Records</t>
    </r>
  </si>
  <si>
    <t>Std1dot4</t>
  </si>
  <si>
    <t>Std1dot1Comments</t>
  </si>
  <si>
    <t>Std1dot3Comments</t>
  </si>
  <si>
    <t>Std1dot4Comments</t>
  </si>
  <si>
    <t>o Select "NA" if individual entered services during monitoring period, and annual notice was not yet due
o Select "NA" if individual entered services prior to 9/1/2014 and annual notice is not yet due</t>
  </si>
  <si>
    <t>ICN</t>
  </si>
  <si>
    <t>6.0.3</t>
  </si>
  <si>
    <t>Posting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</si>
</sst>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mm/dd/yyyy"/>
    <numFmt numFmtId="165" formatCode="0;\-0;;@"/>
    <numFmt numFmtId="166" formatCode="mm/yyyy"/>
    <numFmt numFmtId="167" formatCode="0_);\(0\)"/>
    <numFmt numFmtId="168" formatCode="0.00;\-0.00;;@"/>
    <numFmt numFmtId="169" formatCode="0.0000"/>
    <numFmt numFmtId="170" formatCode="mm/d/yyyy"/>
    <numFmt numFmtId="171" formatCode="[$-409]mmmm\ d\,\ yyyy;@"/>
  </numFmts>
  <fonts count="69">
    <font>
      <sz val="11"/>
      <color theme="1"/>
      <name val="Calibri"/>
      <family val="2"/>
      <scheme val="minor"/>
    </font>
    <font>
      <sz val="10"/>
      <color theme="1"/>
      <name val="Arial"/>
      <family val="2"/>
    </font>
    <font>
      <sz val="8"/>
      <color theme="1"/>
      <name val="Arial"/>
      <family val="2"/>
    </font>
    <font>
      <sz val="12"/>
      <color theme="1"/>
      <name val="Arial"/>
      <family val="2"/>
    </font>
    <font>
      <sz val="9"/>
      <color theme="1"/>
      <name val="Arial"/>
      <family val="2"/>
    </font>
    <font>
      <b/>
      <sz val="12"/>
      <color theme="1"/>
      <name val="Arial"/>
      <family val="2"/>
    </font>
    <font>
      <b/>
      <sz val="10"/>
      <color theme="1"/>
      <name val="Arial"/>
      <family val="2"/>
    </font>
    <font>
      <b/>
      <sz val="8"/>
      <color theme="1"/>
      <name val="Arial"/>
      <family val="2"/>
    </font>
    <font>
      <sz val="8"/>
      <color rgb="FF000000"/>
      <name val="Arial"/>
      <family val="2"/>
    </font>
    <font>
      <b/>
      <sz val="10"/>
      <color rgb="FF000000"/>
      <name val="Arial"/>
      <family val="2"/>
    </font>
    <font>
      <i/>
      <sz val="10"/>
      <color theme="1"/>
      <name val="Arial"/>
      <family val="2"/>
    </font>
    <font>
      <i/>
      <sz val="9"/>
      <color theme="1"/>
      <name val="Arial"/>
      <family val="2"/>
    </font>
    <font>
      <b/>
      <sz val="9"/>
      <color theme="1"/>
      <name val="Arial"/>
      <family val="2"/>
    </font>
    <font>
      <b/>
      <sz val="11"/>
      <color theme="1"/>
      <name val="Calibri"/>
      <family val="2"/>
      <scheme val="minor"/>
    </font>
    <font>
      <b/>
      <sz val="8"/>
      <color rgb="FF000000"/>
      <name val="Arial"/>
      <family val="2"/>
    </font>
    <font>
      <sz val="10"/>
      <color theme="1"/>
      <name val="Arian"/>
    </font>
    <font>
      <sz val="10"/>
      <color theme="1"/>
      <name val="Calibri"/>
      <family val="2"/>
      <scheme val="minor"/>
    </font>
    <font>
      <sz val="8"/>
      <color theme="1"/>
      <name val="Calibri"/>
      <family val="2"/>
      <scheme val="minor"/>
    </font>
    <font>
      <sz val="10"/>
      <color rgb="FF000000"/>
      <name val="Arial"/>
      <family val="2"/>
    </font>
    <font>
      <b/>
      <sz val="9"/>
      <color theme="0"/>
      <name val="Arial"/>
      <family val="2"/>
    </font>
    <font>
      <sz val="9"/>
      <color theme="0"/>
      <name val="Arial"/>
      <family val="2"/>
    </font>
    <font>
      <b/>
      <i/>
      <sz val="12"/>
      <color theme="1"/>
      <name val="Arial"/>
      <family val="2"/>
    </font>
    <font>
      <sz val="10"/>
      <color theme="1"/>
      <name val="Times New Roman"/>
      <family val="1"/>
    </font>
    <font>
      <sz val="12"/>
      <color rgb="FF000000"/>
      <name val="Arial"/>
      <family val="2"/>
    </font>
    <font>
      <b/>
      <sz val="10"/>
      <name val="Arial"/>
      <family val="2"/>
    </font>
    <font>
      <sz val="10"/>
      <name val="Arial"/>
      <family val="2"/>
    </font>
    <font>
      <sz val="12"/>
      <color theme="1"/>
      <name val="Times New Roman"/>
      <family val="1"/>
    </font>
    <font>
      <vertAlign val="superscript"/>
      <sz val="9"/>
      <color theme="1"/>
      <name val="Arial"/>
      <family val="2"/>
    </font>
    <font>
      <b/>
      <sz val="10"/>
      <name val="Arial Narrow"/>
      <family val="2"/>
    </font>
    <font>
      <b/>
      <sz val="10"/>
      <color indexed="12"/>
      <name val="Arial Narrow"/>
      <family val="2"/>
    </font>
    <font>
      <sz val="10"/>
      <name val="Arial Narrow"/>
      <family val="2"/>
    </font>
    <font>
      <b/>
      <i/>
      <sz val="10"/>
      <name val="Arial Narrow"/>
      <family val="2"/>
    </font>
    <font>
      <sz val="10"/>
      <color indexed="12"/>
      <name val="Arial Narrow"/>
      <family val="2"/>
    </font>
    <font>
      <sz val="8"/>
      <color indexed="12"/>
      <name val="Arial Narrow"/>
      <family val="2"/>
    </font>
    <font>
      <b/>
      <sz val="8"/>
      <color indexed="12"/>
      <name val="Arial Narrow"/>
      <family val="2"/>
    </font>
    <font>
      <sz val="8"/>
      <name val="Arial"/>
      <family val="2"/>
    </font>
    <font>
      <u/>
      <sz val="10"/>
      <color indexed="12"/>
      <name val="Arial"/>
      <family val="2"/>
    </font>
    <font>
      <b/>
      <sz val="12"/>
      <name val="Arial Narrow"/>
      <family val="2"/>
    </font>
    <font>
      <u/>
      <sz val="10"/>
      <color indexed="12"/>
      <name val="Arial Narrow"/>
      <family val="2"/>
    </font>
    <font>
      <b/>
      <sz val="9"/>
      <name val="Arial Narrow"/>
      <family val="2"/>
    </font>
    <font>
      <sz val="11"/>
      <name val="Calibri"/>
      <family val="2"/>
      <scheme val="minor"/>
    </font>
    <font>
      <sz val="8"/>
      <color rgb="FF000000"/>
      <name val="Tahoma"/>
      <family val="2"/>
    </font>
    <font>
      <b/>
      <sz val="9"/>
      <color theme="1"/>
      <name val="Calibri"/>
      <family val="2"/>
      <scheme val="minor"/>
    </font>
    <font>
      <b/>
      <u/>
      <sz val="10"/>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1"/>
      <color rgb="FFFF0000"/>
      <name val="Calibri"/>
      <family val="2"/>
      <scheme val="minor"/>
    </font>
    <font>
      <sz val="11"/>
      <color theme="1"/>
      <name val="Calibri"/>
      <family val="2"/>
      <scheme val="minor"/>
    </font>
    <font>
      <b/>
      <sz val="7"/>
      <color theme="1"/>
      <name val="Arial"/>
      <family val="2"/>
    </font>
    <font>
      <sz val="11"/>
      <color theme="0"/>
      <name val="Calibri"/>
      <family val="2"/>
      <scheme val="minor"/>
    </font>
    <font>
      <sz val="9"/>
      <color indexed="8"/>
      <name val="Arial"/>
      <family val="2"/>
    </font>
  </fonts>
  <fills count="32">
    <fill>
      <patternFill patternType="none"/>
    </fill>
    <fill>
      <patternFill patternType="gray125"/>
    </fill>
    <fill>
      <patternFill patternType="solid">
        <fgColor theme="0" tint="-4.9989318521683403E-2"/>
        <bgColor indexed="64"/>
      </patternFill>
    </fill>
    <fill>
      <patternFill patternType="solid">
        <fgColor rgb="FFE6E6E6"/>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CC"/>
      </patternFill>
    </fill>
    <fill>
      <patternFill patternType="solid">
        <fgColor rgb="FFCCFFCC"/>
        <bgColor indexed="64"/>
      </patternFill>
    </fill>
  </fills>
  <borders count="16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medium">
        <color indexed="64"/>
      </right>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Dashed">
        <color indexed="64"/>
      </top>
      <bottom style="thick">
        <color indexed="64"/>
      </bottom>
      <diagonal/>
    </border>
    <border>
      <left/>
      <right style="thick">
        <color indexed="64"/>
      </right>
      <top style="mediumDashed">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thick">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ck">
        <color indexed="64"/>
      </left>
      <right style="thick">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bottom style="thick">
        <color indexed="64"/>
      </bottom>
      <diagonal/>
    </border>
    <border>
      <left/>
      <right style="medium">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auto="1"/>
      </right>
      <top/>
      <bottom style="medium">
        <color auto="1"/>
      </bottom>
      <diagonal/>
    </border>
    <border>
      <left style="thick">
        <color indexed="64"/>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s>
  <cellStyleXfs count="100">
    <xf numFmtId="0" fontId="0" fillId="0" borderId="0"/>
    <xf numFmtId="0" fontId="36" fillId="0" borderId="0" applyNumberFormat="0" applyFill="0" applyBorder="0" applyAlignment="0" applyProtection="0">
      <alignment vertical="top"/>
      <protection locked="0"/>
    </xf>
    <xf numFmtId="0" fontId="46" fillId="0" borderId="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2" borderId="0" applyNumberFormat="0" applyBorder="0" applyAlignment="0" applyProtection="0"/>
    <xf numFmtId="0" fontId="48" fillId="6" borderId="0" applyNumberFormat="0" applyBorder="0" applyAlignment="0" applyProtection="0"/>
    <xf numFmtId="0" fontId="49" fillId="23" borderId="109" applyNumberFormat="0" applyAlignment="0" applyProtection="0"/>
    <xf numFmtId="0" fontId="50" fillId="24" borderId="110" applyNumberFormat="0" applyAlignment="0" applyProtection="0"/>
    <xf numFmtId="0" fontId="51" fillId="0" borderId="0" applyNumberFormat="0" applyFill="0" applyBorder="0" applyAlignment="0" applyProtection="0"/>
    <xf numFmtId="0" fontId="52" fillId="7" borderId="0" applyNumberFormat="0" applyBorder="0" applyAlignment="0" applyProtection="0"/>
    <xf numFmtId="0" fontId="53" fillId="0" borderId="111" applyNumberFormat="0" applyFill="0" applyAlignment="0" applyProtection="0"/>
    <xf numFmtId="0" fontId="54" fillId="0" borderId="112" applyNumberFormat="0" applyFill="0" applyAlignment="0" applyProtection="0"/>
    <xf numFmtId="0" fontId="55" fillId="0" borderId="113" applyNumberFormat="0" applyFill="0" applyAlignment="0" applyProtection="0"/>
    <xf numFmtId="0" fontId="55" fillId="0" borderId="0" applyNumberFormat="0" applyFill="0" applyBorder="0" applyAlignment="0" applyProtection="0"/>
    <xf numFmtId="0" fontId="56" fillId="10" borderId="109" applyNumberFormat="0" applyAlignment="0" applyProtection="0"/>
    <xf numFmtId="0" fontId="57" fillId="0" borderId="114" applyNumberFormat="0" applyFill="0" applyAlignment="0" applyProtection="0"/>
    <xf numFmtId="0" fontId="58" fillId="25" borderId="0" applyNumberFormat="0" applyBorder="0" applyAlignment="0" applyProtection="0"/>
    <xf numFmtId="0" fontId="46" fillId="26" borderId="115" applyNumberFormat="0" applyFont="0" applyAlignment="0" applyProtection="0"/>
    <xf numFmtId="0" fontId="59" fillId="23" borderId="116" applyNumberFormat="0" applyAlignment="0" applyProtection="0"/>
    <xf numFmtId="0" fontId="60" fillId="0" borderId="0" applyNumberFormat="0" applyFill="0" applyBorder="0" applyAlignment="0" applyProtection="0"/>
    <xf numFmtId="0" fontId="61" fillId="0" borderId="117" applyNumberFormat="0" applyFill="0" applyAlignment="0" applyProtection="0"/>
    <xf numFmtId="0" fontId="62" fillId="0" borderId="0" applyNumberFormat="0" applyFill="0" applyBorder="0" applyAlignment="0" applyProtection="0"/>
    <xf numFmtId="0" fontId="49" fillId="23" borderId="119" applyNumberFormat="0" applyAlignment="0" applyProtection="0"/>
    <xf numFmtId="0" fontId="56" fillId="10" borderId="119" applyNumberFormat="0" applyAlignment="0" applyProtection="0"/>
    <xf numFmtId="0" fontId="46" fillId="26" borderId="120" applyNumberFormat="0" applyFont="0" applyAlignment="0" applyProtection="0"/>
    <xf numFmtId="0" fontId="59" fillId="23" borderId="121" applyNumberFormat="0" applyAlignment="0" applyProtection="0"/>
    <xf numFmtId="0" fontId="61" fillId="0" borderId="122" applyNumberFormat="0" applyFill="0" applyAlignment="0" applyProtection="0"/>
    <xf numFmtId="0" fontId="49" fillId="23" borderId="123" applyNumberFormat="0" applyAlignment="0" applyProtection="0"/>
    <xf numFmtId="0" fontId="49" fillId="23" borderId="135" applyNumberFormat="0" applyAlignment="0" applyProtection="0"/>
    <xf numFmtId="0" fontId="49" fillId="23" borderId="127" applyNumberFormat="0" applyAlignment="0" applyProtection="0"/>
    <xf numFmtId="0" fontId="49" fillId="23" borderId="139" applyNumberFormat="0" applyAlignment="0" applyProtection="0"/>
    <xf numFmtId="0" fontId="59" fillId="23" borderId="129" applyNumberFormat="0" applyAlignment="0" applyProtection="0"/>
    <xf numFmtId="0" fontId="56" fillId="10" borderId="139" applyNumberFormat="0" applyAlignment="0" applyProtection="0"/>
    <xf numFmtId="0" fontId="56" fillId="10" borderId="127" applyNumberFormat="0" applyAlignment="0" applyProtection="0"/>
    <xf numFmtId="0" fontId="46" fillId="26" borderId="128" applyNumberFormat="0" applyFont="0" applyAlignment="0" applyProtection="0"/>
    <xf numFmtId="0" fontId="56" fillId="10" borderId="123" applyNumberFormat="0" applyAlignment="0" applyProtection="0"/>
    <xf numFmtId="0" fontId="46" fillId="26" borderId="124" applyNumberFormat="0" applyFont="0" applyAlignment="0" applyProtection="0"/>
    <xf numFmtId="0" fontId="59" fillId="23" borderId="125" applyNumberFormat="0" applyAlignment="0" applyProtection="0"/>
    <xf numFmtId="0" fontId="61" fillId="0" borderId="126" applyNumberFormat="0" applyFill="0" applyAlignment="0" applyProtection="0"/>
    <xf numFmtId="0" fontId="49" fillId="23" borderId="131" applyNumberFormat="0" applyAlignment="0" applyProtection="0"/>
    <xf numFmtId="0" fontId="61" fillId="0" borderId="130" applyNumberFormat="0" applyFill="0" applyAlignment="0" applyProtection="0"/>
    <xf numFmtId="0" fontId="56" fillId="10" borderId="131" applyNumberFormat="0" applyAlignment="0" applyProtection="0"/>
    <xf numFmtId="0" fontId="46" fillId="26" borderId="132" applyNumberFormat="0" applyFont="0" applyAlignment="0" applyProtection="0"/>
    <xf numFmtId="0" fontId="59" fillId="23" borderId="133" applyNumberFormat="0" applyAlignment="0" applyProtection="0"/>
    <xf numFmtId="0" fontId="61" fillId="0" borderId="134" applyNumberFormat="0" applyFill="0" applyAlignment="0" applyProtection="0"/>
    <xf numFmtId="0" fontId="56" fillId="10" borderId="135" applyNumberFormat="0" applyAlignment="0" applyProtection="0"/>
    <xf numFmtId="0" fontId="46" fillId="26" borderId="136" applyNumberFormat="0" applyFont="0" applyAlignment="0" applyProtection="0"/>
    <xf numFmtId="0" fontId="59" fillId="23" borderId="137" applyNumberFormat="0" applyAlignment="0" applyProtection="0"/>
    <xf numFmtId="0" fontId="61" fillId="0" borderId="138" applyNumberFormat="0" applyFill="0" applyAlignment="0" applyProtection="0"/>
    <xf numFmtId="0" fontId="46" fillId="26" borderId="140" applyNumberFormat="0" applyFont="0" applyAlignment="0" applyProtection="0"/>
    <xf numFmtId="0" fontId="59" fillId="23" borderId="141" applyNumberFormat="0" applyAlignment="0" applyProtection="0"/>
    <xf numFmtId="0" fontId="61" fillId="0" borderId="142" applyNumberFormat="0" applyFill="0" applyAlignment="0" applyProtection="0"/>
    <xf numFmtId="0" fontId="65" fillId="30" borderId="143" applyNumberFormat="0" applyFont="0" applyAlignment="0" applyProtection="0"/>
    <xf numFmtId="0" fontId="49" fillId="23" borderId="139" applyNumberFormat="0" applyAlignment="0" applyProtection="0"/>
    <xf numFmtId="0" fontId="56" fillId="10" borderId="139" applyNumberFormat="0" applyAlignment="0" applyProtection="0"/>
    <xf numFmtId="0" fontId="46" fillId="26" borderId="140" applyNumberFormat="0" applyFont="0" applyAlignment="0" applyProtection="0"/>
    <xf numFmtId="0" fontId="59" fillId="23" borderId="141" applyNumberFormat="0" applyAlignment="0" applyProtection="0"/>
    <xf numFmtId="0" fontId="61" fillId="0" borderId="142" applyNumberFormat="0" applyFill="0" applyAlignment="0" applyProtection="0"/>
    <xf numFmtId="0" fontId="49" fillId="23" borderId="139" applyNumberFormat="0" applyAlignment="0" applyProtection="0"/>
    <xf numFmtId="0" fontId="49" fillId="23" borderId="139" applyNumberFormat="0" applyAlignment="0" applyProtection="0"/>
    <xf numFmtId="0" fontId="49" fillId="23" borderId="139" applyNumberFormat="0" applyAlignment="0" applyProtection="0"/>
    <xf numFmtId="0" fontId="59" fillId="23" borderId="141" applyNumberFormat="0" applyAlignment="0" applyProtection="0"/>
    <xf numFmtId="0" fontId="56" fillId="10" borderId="139" applyNumberFormat="0" applyAlignment="0" applyProtection="0"/>
    <xf numFmtId="0" fontId="46" fillId="26" borderId="140" applyNumberFormat="0" applyFont="0" applyAlignment="0" applyProtection="0"/>
    <xf numFmtId="0" fontId="56" fillId="10" borderId="139" applyNumberFormat="0" applyAlignment="0" applyProtection="0"/>
    <xf numFmtId="0" fontId="46" fillId="26" borderId="140" applyNumberFormat="0" applyFont="0" applyAlignment="0" applyProtection="0"/>
    <xf numFmtId="0" fontId="59" fillId="23" borderId="141" applyNumberFormat="0" applyAlignment="0" applyProtection="0"/>
    <xf numFmtId="0" fontId="61" fillId="0" borderId="142" applyNumberFormat="0" applyFill="0" applyAlignment="0" applyProtection="0"/>
    <xf numFmtId="0" fontId="49" fillId="23" borderId="139" applyNumberFormat="0" applyAlignment="0" applyProtection="0"/>
    <xf numFmtId="0" fontId="61" fillId="0" borderId="142" applyNumberFormat="0" applyFill="0" applyAlignment="0" applyProtection="0"/>
    <xf numFmtId="0" fontId="56" fillId="10" borderId="139" applyNumberFormat="0" applyAlignment="0" applyProtection="0"/>
    <xf numFmtId="0" fontId="46" fillId="26" borderId="140" applyNumberFormat="0" applyFont="0" applyAlignment="0" applyProtection="0"/>
    <xf numFmtId="0" fontId="59" fillId="23" borderId="141" applyNumberFormat="0" applyAlignment="0" applyProtection="0"/>
    <xf numFmtId="0" fontId="61" fillId="0" borderId="142" applyNumberFormat="0" applyFill="0" applyAlignment="0" applyProtection="0"/>
    <xf numFmtId="0" fontId="56" fillId="10" borderId="139" applyNumberFormat="0" applyAlignment="0" applyProtection="0"/>
    <xf numFmtId="0" fontId="46" fillId="26" borderId="140" applyNumberFormat="0" applyFont="0" applyAlignment="0" applyProtection="0"/>
    <xf numFmtId="0" fontId="59" fillId="23" borderId="141" applyNumberFormat="0" applyAlignment="0" applyProtection="0"/>
    <xf numFmtId="0" fontId="61" fillId="0" borderId="142" applyNumberFormat="0" applyFill="0" applyAlignment="0" applyProtection="0"/>
  </cellStyleXfs>
  <cellXfs count="1535">
    <xf numFmtId="0" fontId="0" fillId="0" borderId="0" xfId="0"/>
    <xf numFmtId="0" fontId="3" fillId="0" borderId="0" xfId="0" applyFont="1"/>
    <xf numFmtId="0" fontId="4" fillId="0" borderId="7" xfId="0" applyFont="1" applyBorder="1" applyAlignment="1">
      <alignment horizontal="right" vertical="center" wrapText="1"/>
    </xf>
    <xf numFmtId="0" fontId="6" fillId="3" borderId="12" xfId="0" applyFont="1" applyFill="1" applyBorder="1" applyAlignment="1">
      <alignment horizontal="center" vertical="top" wrapText="1"/>
    </xf>
    <xf numFmtId="165" fontId="6" fillId="2" borderId="12" xfId="0" quotePrefix="1" applyNumberFormat="1" applyFont="1" applyFill="1" applyBorder="1" applyAlignment="1">
      <alignment horizontal="center" vertical="center" wrapText="1"/>
    </xf>
    <xf numFmtId="0" fontId="1" fillId="0" borderId="0" xfId="0" applyFont="1"/>
    <xf numFmtId="0" fontId="1" fillId="0" borderId="19" xfId="0" applyFont="1" applyBorder="1" applyAlignment="1">
      <alignment horizontal="right"/>
    </xf>
    <xf numFmtId="0" fontId="13" fillId="0" borderId="0" xfId="0" applyFont="1"/>
    <xf numFmtId="1" fontId="1" fillId="2" borderId="29" xfId="0" applyNumberFormat="1" applyFont="1" applyFill="1" applyBorder="1" applyAlignment="1">
      <alignment horizontal="center" vertical="center" wrapText="1"/>
    </xf>
    <xf numFmtId="0" fontId="1" fillId="0" borderId="31" xfId="0" applyFont="1" applyBorder="1" applyAlignment="1">
      <alignment horizontal="right" vertical="top"/>
    </xf>
    <xf numFmtId="0" fontId="1" fillId="0" borderId="5" xfId="0" applyFont="1" applyBorder="1" applyAlignment="1">
      <alignment horizontal="right" vertical="top"/>
    </xf>
    <xf numFmtId="0" fontId="1" fillId="0" borderId="0" xfId="0" applyFont="1" applyAlignment="1">
      <alignment wrapText="1"/>
    </xf>
    <xf numFmtId="0" fontId="1" fillId="0" borderId="7" xfId="0" applyFont="1" applyBorder="1" applyAlignment="1">
      <alignment wrapText="1"/>
    </xf>
    <xf numFmtId="0" fontId="2" fillId="0" borderId="7" xfId="0" applyFont="1" applyBorder="1" applyAlignment="1">
      <alignment horizontal="right" vertical="center" wrapText="1"/>
    </xf>
    <xf numFmtId="0" fontId="16" fillId="0" borderId="0" xfId="0" applyFont="1"/>
    <xf numFmtId="0" fontId="17" fillId="0" borderId="0" xfId="0" applyFont="1"/>
    <xf numFmtId="0" fontId="1" fillId="0" borderId="26" xfId="0" applyFont="1" applyBorder="1" applyAlignment="1">
      <alignment horizontal="left" vertical="top" wrapText="1" indent="1"/>
    </xf>
    <xf numFmtId="0" fontId="1" fillId="0" borderId="42" xfId="0" applyFont="1" applyBorder="1" applyAlignment="1">
      <alignment horizontal="right" indent="1"/>
    </xf>
    <xf numFmtId="0" fontId="6" fillId="0" borderId="41" xfId="0" applyFont="1" applyBorder="1"/>
    <xf numFmtId="0" fontId="6" fillId="0" borderId="62" xfId="0" applyFont="1" applyBorder="1" applyAlignment="1">
      <alignment horizontal="center" vertical="top" wrapText="1"/>
    </xf>
    <xf numFmtId="44" fontId="4" fillId="0" borderId="48" xfId="0" applyNumberFormat="1" applyFont="1" applyBorder="1" applyAlignment="1">
      <alignment horizontal="center" vertical="top" wrapText="1"/>
    </xf>
    <xf numFmtId="0" fontId="1" fillId="0" borderId="18" xfId="0" applyFont="1" applyBorder="1" applyAlignment="1">
      <alignment horizontal="right"/>
    </xf>
    <xf numFmtId="0" fontId="4" fillId="0" borderId="0" xfId="0" applyFont="1"/>
    <xf numFmtId="0" fontId="1" fillId="0" borderId="42" xfId="0" applyFont="1" applyBorder="1" applyAlignment="1">
      <alignment horizontal="right" vertical="center" indent="1"/>
    </xf>
    <xf numFmtId="0" fontId="1" fillId="0" borderId="18" xfId="0" applyFont="1" applyBorder="1" applyAlignment="1">
      <alignment horizontal="right" vertical="center"/>
    </xf>
    <xf numFmtId="0" fontId="3" fillId="0" borderId="7" xfId="0" applyFont="1" applyBorder="1"/>
    <xf numFmtId="0" fontId="6" fillId="0" borderId="60" xfId="0" applyFont="1" applyBorder="1" applyAlignment="1">
      <alignment horizontal="center"/>
    </xf>
    <xf numFmtId="0" fontId="12" fillId="0" borderId="44" xfId="0" applyFont="1" applyBorder="1" applyAlignment="1">
      <alignment horizontal="center"/>
    </xf>
    <xf numFmtId="0" fontId="12" fillId="0" borderId="18" xfId="0" applyFont="1" applyBorder="1" applyAlignment="1">
      <alignment horizontal="center"/>
    </xf>
    <xf numFmtId="0" fontId="12" fillId="0" borderId="58" xfId="0" applyFont="1" applyBorder="1" applyAlignment="1">
      <alignment horizontal="center"/>
    </xf>
    <xf numFmtId="1"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22" fillId="0" borderId="0" xfId="0" applyFont="1" applyAlignment="1">
      <alignment wrapText="1"/>
    </xf>
    <xf numFmtId="0" fontId="23" fillId="0" borderId="0" xfId="0" applyFont="1"/>
    <xf numFmtId="0" fontId="1" fillId="0" borderId="5" xfId="0" applyFont="1" applyBorder="1" applyAlignment="1">
      <alignment horizontal="right" wrapText="1"/>
    </xf>
    <xf numFmtId="0" fontId="12" fillId="0" borderId="42" xfId="0" applyFont="1" applyBorder="1" applyAlignment="1">
      <alignment horizontal="center"/>
    </xf>
    <xf numFmtId="0" fontId="6" fillId="0" borderId="54" xfId="0" applyFont="1" applyBorder="1" applyAlignment="1">
      <alignment horizontal="right"/>
    </xf>
    <xf numFmtId="0" fontId="1" fillId="0" borderId="1" xfId="0" applyFont="1" applyBorder="1" applyAlignment="1">
      <alignment wrapText="1"/>
    </xf>
    <xf numFmtId="0" fontId="1" fillId="0" borderId="2" xfId="0" applyFont="1" applyBorder="1" applyAlignment="1">
      <alignment wrapText="1"/>
    </xf>
    <xf numFmtId="0" fontId="1" fillId="0" borderId="61" xfId="0" applyFont="1" applyBorder="1" applyAlignment="1">
      <alignment horizontal="center"/>
    </xf>
    <xf numFmtId="0" fontId="1" fillId="0" borderId="42" xfId="0" applyFont="1" applyBorder="1" applyAlignment="1">
      <alignment horizontal="center"/>
    </xf>
    <xf numFmtId="44" fontId="0" fillId="0" borderId="0" xfId="0" applyNumberFormat="1"/>
    <xf numFmtId="0" fontId="0" fillId="0" borderId="7" xfId="0" applyBorder="1"/>
    <xf numFmtId="0" fontId="0" fillId="0" borderId="0" xfId="0" applyAlignment="1">
      <alignment horizontal="center"/>
    </xf>
    <xf numFmtId="0" fontId="6" fillId="0" borderId="18" xfId="0" applyFont="1" applyBorder="1" applyAlignment="1">
      <alignment horizontal="right" vertical="top" wrapText="1" indent="1"/>
    </xf>
    <xf numFmtId="0" fontId="6" fillId="0" borderId="25" xfId="0" applyFont="1" applyBorder="1" applyAlignment="1">
      <alignment horizontal="right" vertical="top" wrapText="1" indent="1"/>
    </xf>
    <xf numFmtId="0" fontId="6" fillId="0" borderId="24" xfId="0" applyFont="1" applyBorder="1" applyAlignment="1">
      <alignment horizontal="right" vertical="top" wrapText="1" indent="1"/>
    </xf>
    <xf numFmtId="0" fontId="6" fillId="0" borderId="50" xfId="0" applyFont="1" applyBorder="1" applyAlignment="1">
      <alignment horizontal="right" vertical="top" wrapText="1" indent="1"/>
    </xf>
    <xf numFmtId="0" fontId="6" fillId="0" borderId="42" xfId="0" applyFont="1" applyBorder="1" applyAlignment="1">
      <alignment horizontal="right" vertical="top" wrapText="1" indent="1"/>
    </xf>
    <xf numFmtId="0" fontId="1" fillId="0" borderId="7" xfId="0" applyFont="1" applyBorder="1"/>
    <xf numFmtId="44" fontId="4" fillId="0" borderId="53" xfId="0" applyNumberFormat="1" applyFont="1" applyBorder="1" applyAlignment="1">
      <alignment vertical="top" wrapText="1"/>
    </xf>
    <xf numFmtId="0" fontId="31" fillId="0" borderId="80" xfId="0" applyFont="1" applyBorder="1" applyAlignment="1">
      <alignment horizontal="center" vertical="top"/>
    </xf>
    <xf numFmtId="0" fontId="31" fillId="0" borderId="80" xfId="0" applyFont="1" applyBorder="1" applyAlignment="1">
      <alignment horizontal="center" vertical="top" wrapText="1"/>
    </xf>
    <xf numFmtId="0" fontId="31" fillId="0" borderId="82" xfId="0" applyFont="1" applyBorder="1" applyAlignment="1">
      <alignment horizontal="center" vertical="top" wrapText="1"/>
    </xf>
    <xf numFmtId="0" fontId="31" fillId="0" borderId="78" xfId="0" applyFont="1" applyBorder="1" applyAlignment="1">
      <alignment horizontal="center" vertical="top" wrapText="1"/>
    </xf>
    <xf numFmtId="0" fontId="31" fillId="0" borderId="24" xfId="0" applyFont="1" applyBorder="1" applyAlignment="1">
      <alignment horizontal="center" vertical="top" wrapText="1"/>
    </xf>
    <xf numFmtId="0" fontId="31" fillId="0" borderId="17" xfId="0" applyFont="1" applyBorder="1" applyAlignment="1">
      <alignment horizontal="center" vertical="top" wrapText="1"/>
    </xf>
    <xf numFmtId="0" fontId="31" fillId="0" borderId="83" xfId="0" applyFont="1" applyBorder="1" applyAlignment="1">
      <alignment horizontal="center" vertical="top" wrapText="1"/>
    </xf>
    <xf numFmtId="0" fontId="31" fillId="0" borderId="79" xfId="0" applyFont="1" applyBorder="1" applyAlignment="1">
      <alignment horizontal="center" vertical="top" wrapText="1"/>
    </xf>
    <xf numFmtId="0" fontId="31" fillId="0" borderId="84" xfId="0" applyFont="1" applyBorder="1" applyAlignment="1">
      <alignment horizontal="center" vertical="top"/>
    </xf>
    <xf numFmtId="0" fontId="30" fillId="0" borderId="0" xfId="0" applyFont="1"/>
    <xf numFmtId="7" fontId="30" fillId="0" borderId="99" xfId="0" applyNumberFormat="1" applyFont="1" applyBorder="1" applyAlignment="1">
      <alignment horizontal="right" vertical="center" wrapText="1"/>
    </xf>
    <xf numFmtId="7" fontId="30" fillId="0" borderId="98" xfId="0" applyNumberFormat="1" applyFont="1" applyBorder="1" applyAlignment="1">
      <alignment vertical="center" wrapText="1"/>
    </xf>
    <xf numFmtId="167" fontId="30" fillId="0" borderId="71" xfId="0" applyNumberFormat="1" applyFont="1" applyBorder="1" applyAlignment="1">
      <alignment horizontal="center" vertical="center" wrapText="1"/>
    </xf>
    <xf numFmtId="0" fontId="31" fillId="0" borderId="0" xfId="0" applyFont="1" applyAlignment="1">
      <alignment horizontal="center" vertical="top"/>
    </xf>
    <xf numFmtId="0" fontId="28" fillId="0" borderId="0" xfId="0" applyFont="1" applyAlignment="1">
      <alignment horizontal="center" vertical="top" wrapText="1"/>
    </xf>
    <xf numFmtId="7" fontId="30" fillId="0" borderId="0" xfId="0" applyNumberFormat="1" applyFont="1" applyAlignment="1">
      <alignment vertical="center"/>
    </xf>
    <xf numFmtId="0" fontId="30" fillId="0" borderId="0" xfId="0" applyFont="1" applyAlignment="1">
      <alignment vertical="center"/>
    </xf>
    <xf numFmtId="0" fontId="35" fillId="0" borderId="0" xfId="0" applyFont="1"/>
    <xf numFmtId="0" fontId="25" fillId="0" borderId="0" xfId="0" applyFont="1"/>
    <xf numFmtId="0" fontId="28" fillId="0" borderId="21" xfId="0" applyFont="1" applyBorder="1" applyAlignment="1">
      <alignment vertical="top"/>
    </xf>
    <xf numFmtId="0" fontId="28" fillId="0" borderId="0" xfId="0" applyFont="1"/>
    <xf numFmtId="0" fontId="30" fillId="0" borderId="21" xfId="0" applyFont="1" applyBorder="1"/>
    <xf numFmtId="0" fontId="28" fillId="0" borderId="21" xfId="0" applyFont="1" applyBorder="1"/>
    <xf numFmtId="0" fontId="0" fillId="0" borderId="0" xfId="0" applyAlignment="1">
      <alignment vertical="top" wrapText="1"/>
    </xf>
    <xf numFmtId="0" fontId="1" fillId="0" borderId="4" xfId="0" applyFont="1" applyBorder="1" applyAlignment="1">
      <alignment wrapText="1"/>
    </xf>
    <xf numFmtId="0" fontId="1" fillId="0" borderId="5" xfId="0" applyFont="1" applyBorder="1" applyAlignment="1">
      <alignment wrapText="1"/>
    </xf>
    <xf numFmtId="0" fontId="1" fillId="0" borderId="7" xfId="0" applyFont="1" applyBorder="1" applyAlignment="1">
      <alignment horizontal="left" vertical="top" wrapText="1"/>
    </xf>
    <xf numFmtId="0" fontId="1" fillId="0" borderId="16" xfId="0" applyFont="1" applyBorder="1" applyAlignment="1">
      <alignment horizontal="right" vertical="center" indent="1"/>
    </xf>
    <xf numFmtId="0" fontId="28" fillId="0" borderId="19" xfId="0" applyFont="1" applyBorder="1" applyAlignment="1">
      <alignment horizontal="left" vertical="top"/>
    </xf>
    <xf numFmtId="1" fontId="20" fillId="4" borderId="1" xfId="0" applyNumberFormat="1" applyFont="1" applyFill="1" applyBorder="1" applyAlignment="1">
      <alignment vertical="center" wrapText="1"/>
    </xf>
    <xf numFmtId="1" fontId="20" fillId="4" borderId="2" xfId="0" applyNumberFormat="1" applyFont="1" applyFill="1" applyBorder="1" applyAlignment="1">
      <alignment vertical="center" wrapText="1"/>
    </xf>
    <xf numFmtId="1" fontId="20" fillId="4" borderId="3" xfId="0" applyNumberFormat="1" applyFont="1" applyFill="1" applyBorder="1" applyAlignment="1">
      <alignment vertical="center" wrapText="1"/>
    </xf>
    <xf numFmtId="1" fontId="20" fillId="4" borderId="7" xfId="0" applyNumberFormat="1" applyFont="1" applyFill="1" applyBorder="1" applyAlignment="1">
      <alignment vertical="center" wrapText="1"/>
    </xf>
    <xf numFmtId="1" fontId="20" fillId="4" borderId="0" xfId="0" applyNumberFormat="1" applyFont="1" applyFill="1" applyAlignment="1">
      <alignment vertical="center" wrapText="1"/>
    </xf>
    <xf numFmtId="1" fontId="20" fillId="4" borderId="8" xfId="0" applyNumberFormat="1" applyFont="1" applyFill="1" applyBorder="1" applyAlignment="1">
      <alignment vertical="center" wrapText="1"/>
    </xf>
    <xf numFmtId="1" fontId="20" fillId="4" borderId="4" xfId="0" applyNumberFormat="1" applyFont="1" applyFill="1" applyBorder="1" applyAlignment="1">
      <alignment vertical="center" wrapText="1"/>
    </xf>
    <xf numFmtId="1" fontId="20" fillId="4" borderId="5" xfId="0" applyNumberFormat="1" applyFont="1" applyFill="1" applyBorder="1" applyAlignment="1">
      <alignment vertical="center" wrapText="1"/>
    </xf>
    <xf numFmtId="1" fontId="20" fillId="4" borderId="6" xfId="0" applyNumberFormat="1" applyFont="1" applyFill="1" applyBorder="1" applyAlignment="1">
      <alignment vertical="center" wrapText="1"/>
    </xf>
    <xf numFmtId="0" fontId="28" fillId="0" borderId="52" xfId="0" applyFont="1" applyBorder="1" applyAlignment="1">
      <alignment horizontal="center" vertical="top" wrapText="1"/>
    </xf>
    <xf numFmtId="0" fontId="28" fillId="0" borderId="92" xfId="0" applyFont="1" applyBorder="1" applyAlignment="1">
      <alignment horizontal="center" wrapText="1"/>
    </xf>
    <xf numFmtId="0" fontId="31" fillId="0" borderId="42" xfId="0" applyFont="1" applyBorder="1" applyAlignment="1">
      <alignment horizontal="center" vertical="top" wrapText="1"/>
    </xf>
    <xf numFmtId="0" fontId="28" fillId="0" borderId="41" xfId="0" applyFont="1" applyBorder="1" applyAlignment="1">
      <alignment horizontal="center" vertical="top" wrapText="1"/>
    </xf>
    <xf numFmtId="0" fontId="28" fillId="0" borderId="23" xfId="0" applyFont="1" applyBorder="1" applyAlignment="1">
      <alignment horizontal="center" wrapText="1"/>
    </xf>
    <xf numFmtId="167" fontId="30" fillId="0" borderId="95" xfId="0" applyNumberFormat="1" applyFont="1" applyBorder="1" applyAlignment="1">
      <alignment vertical="center" wrapText="1"/>
    </xf>
    <xf numFmtId="0" fontId="0" fillId="0" borderId="0" xfId="0" applyAlignment="1">
      <alignment wrapText="1"/>
    </xf>
    <xf numFmtId="0" fontId="0" fillId="0" borderId="19" xfId="0" applyBorder="1" applyAlignment="1">
      <alignment wrapText="1"/>
    </xf>
    <xf numFmtId="0" fontId="0" fillId="0" borderId="31" xfId="0" applyBorder="1" applyAlignment="1">
      <alignment wrapText="1"/>
    </xf>
    <xf numFmtId="0" fontId="0" fillId="0" borderId="20" xfId="0" applyBorder="1" applyAlignment="1">
      <alignment wrapText="1"/>
    </xf>
    <xf numFmtId="0" fontId="0" fillId="0" borderId="24" xfId="0" applyBorder="1"/>
    <xf numFmtId="164" fontId="0" fillId="0" borderId="25" xfId="0" applyNumberFormat="1" applyBorder="1"/>
    <xf numFmtId="0" fontId="0" fillId="0" borderId="19" xfId="0" applyBorder="1" applyAlignment="1">
      <alignment vertical="top" wrapText="1"/>
    </xf>
    <xf numFmtId="0" fontId="0" fillId="0" borderId="31" xfId="0" applyBorder="1" applyAlignment="1">
      <alignment vertical="top" wrapText="1"/>
    </xf>
    <xf numFmtId="0" fontId="0" fillId="0" borderId="20" xfId="0" applyBorder="1" applyAlignment="1">
      <alignment vertical="top" wrapText="1"/>
    </xf>
    <xf numFmtId="0" fontId="0" fillId="0" borderId="19" xfId="0" applyBorder="1"/>
    <xf numFmtId="0" fontId="0" fillId="0" borderId="31" xfId="0" applyBorder="1"/>
    <xf numFmtId="0" fontId="0" fillId="0" borderId="20" xfId="0" applyBorder="1"/>
    <xf numFmtId="165" fontId="0" fillId="0" borderId="21" xfId="0" applyNumberFormat="1" applyBorder="1"/>
    <xf numFmtId="164" fontId="0" fillId="0" borderId="0" xfId="0" applyNumberFormat="1"/>
    <xf numFmtId="165" fontId="0" fillId="0" borderId="23" xfId="0" applyNumberFormat="1" applyBorder="1"/>
    <xf numFmtId="164" fontId="0" fillId="0" borderId="24" xfId="0" applyNumberFormat="1" applyBorder="1"/>
    <xf numFmtId="164" fontId="0" fillId="0" borderId="23" xfId="0" applyNumberFormat="1" applyBorder="1"/>
    <xf numFmtId="165" fontId="0" fillId="0" borderId="0" xfId="0" applyNumberFormat="1"/>
    <xf numFmtId="168" fontId="0" fillId="0" borderId="0" xfId="0" applyNumberFormat="1"/>
    <xf numFmtId="165" fontId="0" fillId="0" borderId="24" xfId="0" applyNumberFormat="1" applyBorder="1"/>
    <xf numFmtId="168" fontId="0" fillId="0" borderId="24" xfId="0" applyNumberFormat="1" applyBorder="1"/>
    <xf numFmtId="2" fontId="0" fillId="0" borderId="0" xfId="0" applyNumberFormat="1"/>
    <xf numFmtId="2" fontId="0" fillId="0" borderId="24" xfId="0" applyNumberFormat="1" applyBorder="1"/>
    <xf numFmtId="4" fontId="0" fillId="0" borderId="22" xfId="0" applyNumberFormat="1" applyBorder="1"/>
    <xf numFmtId="4" fontId="0" fillId="0" borderId="25" xfId="0" applyNumberFormat="1" applyBorder="1"/>
    <xf numFmtId="4" fontId="0" fillId="0" borderId="24" xfId="0" applyNumberFormat="1" applyBorder="1"/>
    <xf numFmtId="0" fontId="0" fillId="0" borderId="22" xfId="0" applyBorder="1"/>
    <xf numFmtId="0" fontId="0" fillId="0" borderId="25" xfId="0" applyBorder="1"/>
    <xf numFmtId="164" fontId="0" fillId="0" borderId="22" xfId="0" applyNumberFormat="1" applyBorder="1"/>
    <xf numFmtId="10" fontId="0" fillId="0" borderId="0" xfId="0" applyNumberFormat="1"/>
    <xf numFmtId="4" fontId="0" fillId="0" borderId="0" xfId="0" applyNumberFormat="1"/>
    <xf numFmtId="10" fontId="0" fillId="0" borderId="0" xfId="0" applyNumberFormat="1" applyAlignment="1">
      <alignment wrapText="1"/>
    </xf>
    <xf numFmtId="165" fontId="0" fillId="0" borderId="0" xfId="0" applyNumberFormat="1" applyAlignment="1">
      <alignment wrapText="1"/>
    </xf>
    <xf numFmtId="4" fontId="0" fillId="0" borderId="0" xfId="0" applyNumberFormat="1" applyAlignment="1">
      <alignment wrapText="1"/>
    </xf>
    <xf numFmtId="10" fontId="0" fillId="0" borderId="19" xfId="0" applyNumberFormat="1" applyBorder="1" applyAlignment="1">
      <alignment wrapText="1"/>
    </xf>
    <xf numFmtId="10" fontId="0" fillId="0" borderId="31" xfId="0" applyNumberFormat="1" applyBorder="1" applyAlignment="1">
      <alignment wrapText="1"/>
    </xf>
    <xf numFmtId="10" fontId="0" fillId="0" borderId="20" xfId="0" applyNumberFormat="1" applyBorder="1" applyAlignment="1">
      <alignment wrapText="1"/>
    </xf>
    <xf numFmtId="10" fontId="0" fillId="0" borderId="19" xfId="0" applyNumberFormat="1" applyBorder="1"/>
    <xf numFmtId="10" fontId="0" fillId="0" borderId="31" xfId="0" applyNumberFormat="1" applyBorder="1"/>
    <xf numFmtId="10" fontId="0" fillId="0" borderId="20" xfId="0" applyNumberFormat="1" applyBorder="1"/>
    <xf numFmtId="10" fontId="0" fillId="0" borderId="21" xfId="0" applyNumberFormat="1" applyBorder="1"/>
    <xf numFmtId="10" fontId="0" fillId="0" borderId="22" xfId="0" applyNumberFormat="1" applyBorder="1"/>
    <xf numFmtId="10" fontId="0" fillId="0" borderId="22" xfId="0" applyNumberFormat="1" applyBorder="1" applyAlignment="1">
      <alignment wrapText="1"/>
    </xf>
    <xf numFmtId="0" fontId="2" fillId="0" borderId="9" xfId="0" applyFont="1" applyBorder="1" applyAlignment="1">
      <alignment horizontal="center" vertical="top" wrapText="1"/>
    </xf>
    <xf numFmtId="0" fontId="44" fillId="0" borderId="0" xfId="0" applyFont="1"/>
    <xf numFmtId="0" fontId="40" fillId="0" borderId="0" xfId="0" applyFont="1"/>
    <xf numFmtId="0" fontId="28" fillId="0" borderId="21" xfId="0" applyFont="1" applyBorder="1" applyAlignment="1">
      <alignment horizontal="left" vertical="top"/>
    </xf>
    <xf numFmtId="0" fontId="31" fillId="0" borderId="18" xfId="0" applyFont="1" applyBorder="1" applyAlignment="1">
      <alignment horizontal="center" vertical="top" wrapText="1"/>
    </xf>
    <xf numFmtId="0" fontId="28" fillId="0" borderId="21" xfId="0" applyFont="1" applyBorder="1" applyAlignment="1">
      <alignment horizontal="center" vertical="top"/>
    </xf>
    <xf numFmtId="0" fontId="6" fillId="0" borderId="12" xfId="0" applyFont="1" applyBorder="1" applyAlignment="1">
      <alignment horizontal="center" vertical="center" wrapText="1"/>
    </xf>
    <xf numFmtId="7" fontId="30" fillId="0" borderId="95" xfId="0" applyNumberFormat="1" applyFont="1" applyBorder="1" applyAlignment="1">
      <alignment horizontal="right" vertical="center" wrapText="1"/>
    </xf>
    <xf numFmtId="7" fontId="30" fillId="0" borderId="95" xfId="0" applyNumberFormat="1" applyFont="1" applyBorder="1" applyAlignment="1">
      <alignment vertical="center" wrapText="1"/>
    </xf>
    <xf numFmtId="0" fontId="31" fillId="0" borderId="85" xfId="0" applyFont="1" applyBorder="1" applyAlignment="1">
      <alignment horizontal="center" vertical="top"/>
    </xf>
    <xf numFmtId="7" fontId="30" fillId="0" borderId="95" xfId="0" applyNumberFormat="1" applyFont="1" applyBorder="1" applyAlignment="1">
      <alignment vertical="center"/>
    </xf>
    <xf numFmtId="0" fontId="28" fillId="0" borderId="19" xfId="0" applyFont="1" applyBorder="1" applyAlignment="1">
      <alignment vertical="top"/>
    </xf>
    <xf numFmtId="0" fontId="28" fillId="0" borderId="42" xfId="0" applyFont="1" applyBorder="1" applyAlignment="1">
      <alignment horizontal="center" vertical="center" wrapText="1"/>
    </xf>
    <xf numFmtId="0" fontId="12" fillId="0" borderId="15" xfId="0" applyFont="1" applyBorder="1" applyAlignment="1">
      <alignment horizontal="center" vertical="top" wrapText="1"/>
    </xf>
    <xf numFmtId="0" fontId="12" fillId="0" borderId="8" xfId="0" applyFont="1" applyBorder="1" applyAlignment="1">
      <alignment horizontal="center" vertical="top" wrapText="1"/>
    </xf>
    <xf numFmtId="0" fontId="12" fillId="0" borderId="6" xfId="0" applyFont="1" applyBorder="1" applyAlignment="1">
      <alignment horizontal="center" vertical="top" wrapText="1"/>
    </xf>
    <xf numFmtId="49" fontId="0" fillId="0" borderId="23" xfId="0" applyNumberFormat="1" applyBorder="1" applyAlignment="1">
      <alignment wrapText="1"/>
    </xf>
    <xf numFmtId="49" fontId="0" fillId="0" borderId="24" xfId="0" applyNumberFormat="1" applyBorder="1"/>
    <xf numFmtId="1" fontId="0" fillId="0" borderId="22" xfId="0" applyNumberFormat="1" applyBorder="1"/>
    <xf numFmtId="1" fontId="0" fillId="0" borderId="25" xfId="0" applyNumberFormat="1" applyBorder="1"/>
    <xf numFmtId="49" fontId="0" fillId="0" borderId="21" xfId="0" applyNumberFormat="1" applyBorder="1" applyAlignment="1">
      <alignment wrapText="1"/>
    </xf>
    <xf numFmtId="49" fontId="0" fillId="0" borderId="0" xfId="0" applyNumberFormat="1"/>
    <xf numFmtId="49" fontId="0" fillId="0" borderId="21" xfId="0" applyNumberFormat="1" applyBorder="1"/>
    <xf numFmtId="49" fontId="0" fillId="0" borderId="23" xfId="0" applyNumberFormat="1" applyBorder="1"/>
    <xf numFmtId="1" fontId="0" fillId="0" borderId="0" xfId="0" applyNumberFormat="1"/>
    <xf numFmtId="1" fontId="0" fillId="0" borderId="24" xfId="0" applyNumberFormat="1" applyBorder="1"/>
    <xf numFmtId="49" fontId="0" fillId="0" borderId="22" xfId="0" applyNumberFormat="1" applyBorder="1"/>
    <xf numFmtId="49" fontId="0" fillId="0" borderId="25" xfId="0" applyNumberFormat="1" applyBorder="1"/>
    <xf numFmtId="2" fontId="0" fillId="0" borderId="22" xfId="0" applyNumberFormat="1" applyBorder="1"/>
    <xf numFmtId="2" fontId="0" fillId="0" borderId="25" xfId="0" applyNumberFormat="1" applyBorder="1"/>
    <xf numFmtId="1" fontId="0" fillId="0" borderId="21" xfId="0" applyNumberFormat="1" applyBorder="1"/>
    <xf numFmtId="1" fontId="0" fillId="0" borderId="23" xfId="0" applyNumberFormat="1" applyBorder="1"/>
    <xf numFmtId="169" fontId="0" fillId="0" borderId="23" xfId="0" applyNumberFormat="1" applyBorder="1"/>
    <xf numFmtId="169" fontId="0" fillId="0" borderId="24" xfId="0" applyNumberFormat="1" applyBorder="1"/>
    <xf numFmtId="164" fontId="0" fillId="0" borderId="118" xfId="0" applyNumberFormat="1" applyBorder="1"/>
    <xf numFmtId="165" fontId="6" fillId="27" borderId="12" xfId="0" applyNumberFormat="1" applyFont="1" applyFill="1" applyBorder="1" applyAlignment="1" applyProtection="1">
      <alignment horizontal="center" vertical="center" wrapText="1"/>
      <protection locked="0"/>
    </xf>
    <xf numFmtId="44" fontId="4" fillId="27" borderId="48" xfId="0" applyNumberFormat="1" applyFont="1" applyFill="1" applyBorder="1" applyAlignment="1" applyProtection="1">
      <alignment vertical="top" wrapText="1"/>
      <protection locked="0"/>
    </xf>
    <xf numFmtId="44" fontId="4" fillId="27" borderId="48" xfId="0" applyNumberFormat="1" applyFont="1" applyFill="1" applyBorder="1" applyAlignment="1" applyProtection="1">
      <alignment horizontal="center" vertical="top" wrapText="1"/>
      <protection locked="0"/>
    </xf>
    <xf numFmtId="1" fontId="1" fillId="27" borderId="58" xfId="0" applyNumberFormat="1" applyFont="1" applyFill="1" applyBorder="1" applyAlignment="1" applyProtection="1">
      <alignment horizontal="right"/>
      <protection locked="0"/>
    </xf>
    <xf numFmtId="1" fontId="1" fillId="27" borderId="44" xfId="0" applyNumberFormat="1" applyFont="1" applyFill="1" applyBorder="1" applyAlignment="1" applyProtection="1">
      <alignment horizontal="right"/>
      <protection locked="0"/>
    </xf>
    <xf numFmtId="0" fontId="1" fillId="27" borderId="44" xfId="0" applyFont="1" applyFill="1" applyBorder="1" applyAlignment="1" applyProtection="1">
      <alignment horizontal="center"/>
      <protection locked="0"/>
    </xf>
    <xf numFmtId="0" fontId="1" fillId="27" borderId="59" xfId="0" applyFont="1" applyFill="1" applyBorder="1" applyAlignment="1" applyProtection="1">
      <alignment horizontal="center"/>
      <protection locked="0"/>
    </xf>
    <xf numFmtId="164" fontId="2" fillId="27" borderId="18" xfId="0" applyNumberFormat="1" applyFont="1" applyFill="1" applyBorder="1" applyAlignment="1" applyProtection="1">
      <alignment horizontal="left"/>
      <protection locked="0"/>
    </xf>
    <xf numFmtId="0" fontId="1" fillId="27" borderId="5" xfId="0" applyFont="1" applyFill="1" applyBorder="1" applyAlignment="1" applyProtection="1">
      <alignment horizontal="center" vertical="center" wrapText="1"/>
      <protection locked="0"/>
    </xf>
    <xf numFmtId="164" fontId="2" fillId="27" borderId="42" xfId="0" applyNumberFormat="1" applyFont="1" applyFill="1" applyBorder="1" applyAlignment="1" applyProtection="1">
      <alignment horizontal="center"/>
      <protection locked="0"/>
    </xf>
    <xf numFmtId="1" fontId="1" fillId="27" borderId="18" xfId="0" applyNumberFormat="1" applyFont="1" applyFill="1" applyBorder="1" applyAlignment="1" applyProtection="1">
      <alignment horizontal="right"/>
      <protection locked="0"/>
    </xf>
    <xf numFmtId="164" fontId="2" fillId="27" borderId="44" xfId="0" applyNumberFormat="1" applyFont="1" applyFill="1" applyBorder="1" applyAlignment="1" applyProtection="1">
      <alignment horizontal="center"/>
      <protection locked="0"/>
    </xf>
    <xf numFmtId="164" fontId="2" fillId="27" borderId="59" xfId="0" applyNumberFormat="1" applyFont="1" applyFill="1" applyBorder="1" applyAlignment="1" applyProtection="1">
      <alignment vertical="top" wrapText="1"/>
      <protection locked="0"/>
    </xf>
    <xf numFmtId="7" fontId="30" fillId="27" borderId="98" xfId="0" applyNumberFormat="1" applyFont="1" applyFill="1" applyBorder="1" applyAlignment="1" applyProtection="1">
      <alignment vertical="center"/>
      <protection locked="0"/>
    </xf>
    <xf numFmtId="0" fontId="32" fillId="27" borderId="71" xfId="0" applyFont="1" applyFill="1" applyBorder="1" applyAlignment="1" applyProtection="1">
      <alignment vertical="center"/>
      <protection locked="0"/>
    </xf>
    <xf numFmtId="37" fontId="33" fillId="27" borderId="95" xfId="0" applyNumberFormat="1" applyFont="1" applyFill="1" applyBorder="1" applyAlignment="1" applyProtection="1">
      <alignment horizontal="left" vertical="center"/>
      <protection locked="0"/>
    </xf>
    <xf numFmtId="37" fontId="32" fillId="27" borderId="95" xfId="0" applyNumberFormat="1" applyFont="1" applyFill="1" applyBorder="1" applyAlignment="1" applyProtection="1">
      <alignment horizontal="center" vertical="center" wrapText="1"/>
      <protection locked="0"/>
    </xf>
    <xf numFmtId="164" fontId="33" fillId="27" borderId="95" xfId="0" applyNumberFormat="1" applyFont="1" applyFill="1" applyBorder="1" applyAlignment="1" applyProtection="1">
      <alignment horizontal="center" vertical="center" wrapText="1"/>
      <protection locked="0"/>
    </xf>
    <xf numFmtId="7" fontId="30" fillId="27" borderId="95" xfId="0" applyNumberFormat="1" applyFont="1" applyFill="1" applyBorder="1" applyAlignment="1" applyProtection="1">
      <alignment horizontal="right" vertical="center" wrapText="1"/>
      <protection locked="0"/>
    </xf>
    <xf numFmtId="7" fontId="29" fillId="27" borderId="98" xfId="0" applyNumberFormat="1" applyFont="1" applyFill="1" applyBorder="1" applyAlignment="1" applyProtection="1">
      <alignment vertical="center" wrapText="1"/>
      <protection locked="0"/>
    </xf>
    <xf numFmtId="7" fontId="29" fillId="27" borderId="70" xfId="0" applyNumberFormat="1" applyFont="1" applyFill="1" applyBorder="1" applyAlignment="1" applyProtection="1">
      <alignment horizontal="right" vertical="center" wrapText="1"/>
      <protection locked="0"/>
    </xf>
    <xf numFmtId="7" fontId="29" fillId="27" borderId="101" xfId="0" applyNumberFormat="1" applyFont="1" applyFill="1" applyBorder="1" applyAlignment="1" applyProtection="1">
      <alignment vertical="center" wrapText="1"/>
      <protection locked="0"/>
    </xf>
    <xf numFmtId="37" fontId="29" fillId="27" borderId="98" xfId="0" applyNumberFormat="1" applyFont="1" applyFill="1" applyBorder="1" applyAlignment="1" applyProtection="1">
      <alignment horizontal="center" vertical="center" wrapText="1"/>
      <protection locked="0"/>
    </xf>
    <xf numFmtId="37" fontId="29" fillId="27" borderId="101" xfId="0" applyNumberFormat="1" applyFont="1" applyFill="1" applyBorder="1" applyAlignment="1" applyProtection="1">
      <alignment horizontal="center" vertical="center" wrapText="1"/>
      <protection locked="0"/>
    </xf>
    <xf numFmtId="7" fontId="29" fillId="27" borderId="99" xfId="0" applyNumberFormat="1" applyFont="1" applyFill="1" applyBorder="1" applyAlignment="1" applyProtection="1">
      <alignment vertical="center" wrapText="1"/>
      <protection locked="0"/>
    </xf>
    <xf numFmtId="37" fontId="29" fillId="27" borderId="95" xfId="0" applyNumberFormat="1" applyFont="1" applyFill="1" applyBorder="1" applyAlignment="1" applyProtection="1">
      <alignment horizontal="center" vertical="center" wrapText="1"/>
      <protection locked="0"/>
    </xf>
    <xf numFmtId="37" fontId="29" fillId="27" borderId="106" xfId="0" applyNumberFormat="1" applyFont="1" applyFill="1" applyBorder="1" applyAlignment="1" applyProtection="1">
      <alignment horizontal="center" vertical="center" wrapText="1"/>
      <protection locked="0"/>
    </xf>
    <xf numFmtId="164" fontId="2" fillId="27" borderId="43" xfId="0" applyNumberFormat="1" applyFont="1" applyFill="1" applyBorder="1" applyAlignment="1" applyProtection="1">
      <alignment horizontal="center" wrapText="1"/>
      <protection locked="0"/>
    </xf>
    <xf numFmtId="164" fontId="1" fillId="27" borderId="20" xfId="0" applyNumberFormat="1" applyFont="1" applyFill="1" applyBorder="1" applyAlignment="1" applyProtection="1">
      <alignment horizontal="left" indent="1"/>
      <protection locked="0"/>
    </xf>
    <xf numFmtId="164" fontId="1" fillId="27" borderId="20" xfId="0" applyNumberFormat="1" applyFont="1" applyFill="1" applyBorder="1" applyAlignment="1" applyProtection="1">
      <alignment horizontal="left"/>
      <protection locked="0"/>
    </xf>
    <xf numFmtId="1" fontId="1" fillId="27" borderId="42" xfId="0" applyNumberFormat="1" applyFont="1" applyFill="1" applyBorder="1" applyAlignment="1" applyProtection="1">
      <alignment horizontal="left"/>
      <protection locked="0"/>
    </xf>
    <xf numFmtId="1" fontId="2" fillId="27" borderId="43" xfId="0" applyNumberFormat="1" applyFont="1" applyFill="1" applyBorder="1" applyAlignment="1" applyProtection="1">
      <alignment shrinkToFit="1"/>
      <protection locked="0"/>
    </xf>
    <xf numFmtId="7" fontId="2" fillId="27" borderId="51" xfId="0" applyNumberFormat="1" applyFont="1" applyFill="1" applyBorder="1" applyAlignment="1" applyProtection="1">
      <alignment horizontal="right" shrinkToFit="1"/>
      <protection locked="0"/>
    </xf>
    <xf numFmtId="7" fontId="2" fillId="27" borderId="69" xfId="0" applyNumberFormat="1" applyFont="1" applyFill="1" applyBorder="1" applyAlignment="1" applyProtection="1">
      <alignment horizontal="right" shrinkToFit="1"/>
      <protection locked="0"/>
    </xf>
    <xf numFmtId="0" fontId="0" fillId="0" borderId="0" xfId="0" applyAlignment="1">
      <alignment vertical="center"/>
    </xf>
    <xf numFmtId="1" fontId="0" fillId="0" borderId="0" xfId="0" applyNumberFormat="1" applyAlignment="1">
      <alignment vertical="center"/>
    </xf>
    <xf numFmtId="0" fontId="6" fillId="0" borderId="41" xfId="0" applyFont="1" applyBorder="1" applyAlignment="1">
      <alignment wrapText="1"/>
    </xf>
    <xf numFmtId="164" fontId="1" fillId="27" borderId="42" xfId="0" applyNumberFormat="1" applyFont="1" applyFill="1" applyBorder="1" applyAlignment="1" applyProtection="1">
      <alignment horizontal="left"/>
      <protection locked="0"/>
    </xf>
    <xf numFmtId="0" fontId="0" fillId="28" borderId="31" xfId="0" applyFill="1" applyBorder="1" applyAlignment="1">
      <alignment vertical="top" wrapText="1"/>
    </xf>
    <xf numFmtId="164" fontId="1" fillId="2" borderId="24" xfId="0" applyNumberFormat="1" applyFont="1" applyFill="1" applyBorder="1" applyAlignment="1">
      <alignment vertical="center" wrapText="1"/>
    </xf>
    <xf numFmtId="0" fontId="4" fillId="0" borderId="23" xfId="0" applyFont="1" applyBorder="1" applyAlignment="1">
      <alignment horizontal="right" vertical="center" wrapText="1"/>
    </xf>
    <xf numFmtId="0" fontId="4" fillId="0" borderId="24" xfId="0" applyFont="1" applyBorder="1" applyAlignment="1">
      <alignment horizontal="right" vertical="center" wrapText="1"/>
    </xf>
    <xf numFmtId="164" fontId="1" fillId="2" borderId="25" xfId="0" applyNumberFormat="1" applyFont="1" applyFill="1" applyBorder="1" applyAlignment="1">
      <alignment vertical="center" wrapText="1"/>
    </xf>
    <xf numFmtId="0" fontId="0" fillId="0" borderId="5" xfId="0" applyBorder="1" applyAlignment="1">
      <alignment vertical="center" wrapText="1"/>
    </xf>
    <xf numFmtId="0" fontId="0" fillId="0" borderId="23" xfId="0" applyBorder="1" applyAlignment="1">
      <alignment vertical="center" wrapText="1"/>
    </xf>
    <xf numFmtId="166" fontId="1" fillId="27" borderId="42" xfId="0" applyNumberFormat="1" applyFont="1" applyFill="1" applyBorder="1" applyAlignment="1" applyProtection="1">
      <alignment vertical="center" wrapText="1"/>
      <protection locked="0"/>
    </xf>
    <xf numFmtId="166" fontId="1" fillId="27" borderId="51" xfId="0" applyNumberFormat="1" applyFont="1" applyFill="1" applyBorder="1" applyAlignment="1" applyProtection="1">
      <alignment vertical="center" wrapText="1"/>
      <protection locked="0"/>
    </xf>
    <xf numFmtId="49" fontId="64" fillId="28" borderId="0" xfId="0" applyNumberFormat="1" applyFont="1" applyFill="1"/>
    <xf numFmtId="0" fontId="0" fillId="29" borderId="31" xfId="0" applyFill="1" applyBorder="1" applyAlignment="1">
      <alignment vertical="top" wrapText="1"/>
    </xf>
    <xf numFmtId="49" fontId="0" fillId="0" borderId="118" xfId="0" applyNumberFormat="1" applyBorder="1"/>
    <xf numFmtId="49" fontId="1" fillId="27" borderId="0" xfId="0" applyNumberFormat="1" applyFont="1" applyFill="1" applyAlignment="1" applyProtection="1">
      <alignment vertical="center" wrapText="1"/>
      <protection locked="0"/>
    </xf>
    <xf numFmtId="0" fontId="2" fillId="0" borderId="21" xfId="0" applyFont="1" applyBorder="1" applyAlignment="1">
      <alignment horizontal="right" vertical="center" wrapText="1"/>
    </xf>
    <xf numFmtId="0" fontId="2" fillId="0" borderId="23" xfId="0" applyFont="1" applyBorder="1" applyAlignment="1">
      <alignment horizontal="right" vertical="center" wrapText="1"/>
    </xf>
    <xf numFmtId="0" fontId="4" fillId="0" borderId="21" xfId="0" applyFont="1" applyBorder="1" applyAlignment="1">
      <alignment horizontal="right" vertical="center" wrapText="1"/>
    </xf>
    <xf numFmtId="165" fontId="4" fillId="0" borderId="22" xfId="0" applyNumberFormat="1" applyFont="1" applyBorder="1" applyAlignment="1">
      <alignment vertical="center" wrapText="1"/>
    </xf>
    <xf numFmtId="164" fontId="4" fillId="2" borderId="22" xfId="0" applyNumberFormat="1" applyFont="1" applyFill="1" applyBorder="1" applyAlignment="1">
      <alignment vertical="center" wrapText="1"/>
    </xf>
    <xf numFmtId="165" fontId="4" fillId="0" borderId="25" xfId="0" applyNumberFormat="1" applyFont="1" applyBorder="1" applyAlignment="1">
      <alignment vertical="center" wrapText="1"/>
    </xf>
    <xf numFmtId="164" fontId="4" fillId="2" borderId="25" xfId="0" applyNumberFormat="1" applyFont="1" applyFill="1" applyBorder="1" applyAlignment="1">
      <alignment vertical="center" wrapText="1"/>
    </xf>
    <xf numFmtId="165" fontId="4" fillId="0" borderId="0" xfId="0" applyNumberFormat="1" applyFont="1" applyAlignment="1">
      <alignment vertical="center" wrapText="1"/>
    </xf>
    <xf numFmtId="165" fontId="4" fillId="0" borderId="118" xfId="0" applyNumberFormat="1" applyFont="1" applyBorder="1" applyAlignment="1">
      <alignment vertical="center" wrapText="1"/>
    </xf>
    <xf numFmtId="0" fontId="0" fillId="0" borderId="143" xfId="74" applyFont="1" applyFill="1"/>
    <xf numFmtId="0" fontId="0" fillId="0" borderId="144" xfId="74" applyFont="1" applyFill="1" applyBorder="1"/>
    <xf numFmtId="1" fontId="0" fillId="0" borderId="118" xfId="0" applyNumberFormat="1" applyBorder="1"/>
    <xf numFmtId="49" fontId="64" fillId="28" borderId="118" xfId="0" applyNumberFormat="1" applyFont="1" applyFill="1" applyBorder="1"/>
    <xf numFmtId="2" fontId="0" fillId="0" borderId="118" xfId="0" applyNumberFormat="1" applyBorder="1"/>
    <xf numFmtId="165" fontId="0" fillId="0" borderId="118" xfId="0" applyNumberFormat="1" applyBorder="1"/>
    <xf numFmtId="0" fontId="2" fillId="27" borderId="49" xfId="0" applyFont="1" applyFill="1" applyBorder="1" applyAlignment="1" applyProtection="1">
      <alignment shrinkToFit="1"/>
      <protection locked="0"/>
    </xf>
    <xf numFmtId="49" fontId="2" fillId="27" borderId="43" xfId="0" applyNumberFormat="1" applyFont="1" applyFill="1" applyBorder="1" applyAlignment="1" applyProtection="1">
      <alignment shrinkToFit="1"/>
      <protection locked="0"/>
    </xf>
    <xf numFmtId="49" fontId="2" fillId="27" borderId="51" xfId="0" applyNumberFormat="1" applyFont="1" applyFill="1" applyBorder="1" applyAlignment="1" applyProtection="1">
      <alignment wrapText="1"/>
      <protection locked="0"/>
    </xf>
    <xf numFmtId="49" fontId="2" fillId="27" borderId="49" xfId="0" applyNumberFormat="1" applyFont="1" applyFill="1" applyBorder="1" applyAlignment="1" applyProtection="1">
      <alignment horizontal="center" wrapText="1"/>
      <protection locked="0"/>
    </xf>
    <xf numFmtId="2" fontId="2" fillId="27" borderId="43" xfId="0" applyNumberFormat="1" applyFont="1" applyFill="1" applyBorder="1" applyAlignment="1" applyProtection="1">
      <alignment horizontal="center" wrapText="1"/>
      <protection locked="0"/>
    </xf>
    <xf numFmtId="0" fontId="2" fillId="27" borderId="145" xfId="0" applyFont="1" applyFill="1" applyBorder="1" applyAlignment="1" applyProtection="1">
      <alignment shrinkToFit="1"/>
      <protection locked="0"/>
    </xf>
    <xf numFmtId="1" fontId="2" fillId="27" borderId="146" xfId="0" applyNumberFormat="1" applyFont="1" applyFill="1" applyBorder="1" applyAlignment="1" applyProtection="1">
      <alignment shrinkToFit="1"/>
      <protection locked="0"/>
    </xf>
    <xf numFmtId="49" fontId="2" fillId="27" borderId="146" xfId="0" applyNumberFormat="1" applyFont="1" applyFill="1" applyBorder="1" applyAlignment="1" applyProtection="1">
      <alignment shrinkToFit="1"/>
      <protection locked="0"/>
    </xf>
    <xf numFmtId="49" fontId="2" fillId="27" borderId="107" xfId="0" applyNumberFormat="1" applyFont="1" applyFill="1" applyBorder="1" applyAlignment="1" applyProtection="1">
      <alignment wrapText="1"/>
      <protection locked="0"/>
    </xf>
    <xf numFmtId="49" fontId="2" fillId="27" borderId="145" xfId="0" applyNumberFormat="1" applyFont="1" applyFill="1" applyBorder="1" applyAlignment="1" applyProtection="1">
      <alignment horizontal="center" wrapText="1"/>
      <protection locked="0"/>
    </xf>
    <xf numFmtId="164" fontId="2" fillId="27" borderId="146" xfId="0" applyNumberFormat="1" applyFont="1" applyFill="1" applyBorder="1" applyAlignment="1" applyProtection="1">
      <alignment horizontal="center" wrapText="1"/>
      <protection locked="0"/>
    </xf>
    <xf numFmtId="2" fontId="2" fillId="27" borderId="146" xfId="0" applyNumberFormat="1" applyFont="1" applyFill="1" applyBorder="1" applyAlignment="1" applyProtection="1">
      <alignment horizontal="center" wrapText="1"/>
      <protection locked="0"/>
    </xf>
    <xf numFmtId="7" fontId="2" fillId="27" borderId="107" xfId="0" applyNumberFormat="1" applyFont="1" applyFill="1" applyBorder="1" applyAlignment="1" applyProtection="1">
      <alignment horizontal="right" shrinkToFit="1"/>
      <protection locked="0"/>
    </xf>
    <xf numFmtId="7" fontId="2" fillId="27" borderId="14" xfId="0" applyNumberFormat="1" applyFont="1" applyFill="1" applyBorder="1" applyAlignment="1" applyProtection="1">
      <alignment horizontal="right" shrinkToFit="1"/>
      <protection locked="0"/>
    </xf>
    <xf numFmtId="164" fontId="1" fillId="2" borderId="8" xfId="0" applyNumberFormat="1" applyFont="1" applyFill="1" applyBorder="1" applyAlignment="1">
      <alignment vertical="center" wrapText="1"/>
    </xf>
    <xf numFmtId="0" fontId="2" fillId="0" borderId="4" xfId="0" applyFont="1" applyBorder="1" applyAlignment="1">
      <alignment horizontal="right" vertical="center" wrapText="1"/>
    </xf>
    <xf numFmtId="49" fontId="1" fillId="27" borderId="5" xfId="0" applyNumberFormat="1" applyFont="1" applyFill="1" applyBorder="1" applyAlignment="1" applyProtection="1">
      <alignment vertical="center" wrapText="1"/>
      <protection locked="0"/>
    </xf>
    <xf numFmtId="164" fontId="1" fillId="2" borderId="6" xfId="0" applyNumberFormat="1" applyFont="1" applyFill="1" applyBorder="1" applyAlignment="1">
      <alignment vertical="center" wrapText="1"/>
    </xf>
    <xf numFmtId="0" fontId="4" fillId="0" borderId="0" xfId="0" applyFont="1" applyAlignment="1">
      <alignment horizontal="right" vertical="center" wrapText="1"/>
    </xf>
    <xf numFmtId="0" fontId="4" fillId="0" borderId="5" xfId="0" applyFont="1" applyBorder="1" applyAlignment="1">
      <alignment horizontal="right" vertical="center" wrapText="1"/>
    </xf>
    <xf numFmtId="0" fontId="28" fillId="0" borderId="92" xfId="0" applyFont="1" applyBorder="1" applyAlignment="1">
      <alignment horizontal="center" vertical="top" wrapText="1"/>
    </xf>
    <xf numFmtId="0" fontId="28" fillId="0" borderId="86" xfId="0" applyFont="1" applyBorder="1" applyAlignment="1">
      <alignment horizontal="center" vertical="top" wrapText="1"/>
    </xf>
    <xf numFmtId="0" fontId="28" fillId="0" borderId="88" xfId="0" applyFont="1" applyBorder="1" applyAlignment="1">
      <alignment horizontal="center" vertical="top" wrapText="1"/>
    </xf>
    <xf numFmtId="0" fontId="28" fillId="0" borderId="97" xfId="0" applyFont="1" applyBorder="1" applyAlignment="1">
      <alignment horizontal="center" vertical="top" wrapText="1"/>
    </xf>
    <xf numFmtId="7" fontId="30" fillId="27" borderId="148" xfId="0" applyNumberFormat="1" applyFont="1" applyFill="1" applyBorder="1" applyAlignment="1" applyProtection="1">
      <alignment vertical="center"/>
      <protection locked="0"/>
    </xf>
    <xf numFmtId="0" fontId="32" fillId="27" borderId="149" xfId="0" applyFont="1" applyFill="1" applyBorder="1" applyAlignment="1" applyProtection="1">
      <alignment vertical="center"/>
      <protection locked="0"/>
    </xf>
    <xf numFmtId="37" fontId="33" fillId="27" borderId="150" xfId="0" applyNumberFormat="1" applyFont="1" applyFill="1" applyBorder="1" applyAlignment="1" applyProtection="1">
      <alignment horizontal="left" vertical="center"/>
      <protection locked="0"/>
    </xf>
    <xf numFmtId="37" fontId="32" fillId="27" borderId="150" xfId="0" applyNumberFormat="1" applyFont="1" applyFill="1" applyBorder="1" applyAlignment="1" applyProtection="1">
      <alignment horizontal="center" vertical="center" wrapText="1"/>
      <protection locked="0"/>
    </xf>
    <xf numFmtId="164" fontId="33" fillId="27" borderId="150" xfId="0" applyNumberFormat="1" applyFont="1" applyFill="1" applyBorder="1" applyAlignment="1" applyProtection="1">
      <alignment horizontal="center" vertical="center" wrapText="1"/>
      <protection locked="0"/>
    </xf>
    <xf numFmtId="7" fontId="30" fillId="27" borderId="150" xfId="0" applyNumberFormat="1" applyFont="1" applyFill="1" applyBorder="1" applyAlignment="1" applyProtection="1">
      <alignment horizontal="right" vertical="center" wrapText="1"/>
      <protection locked="0"/>
    </xf>
    <xf numFmtId="7" fontId="30" fillId="0" borderId="151" xfId="0" applyNumberFormat="1" applyFont="1" applyBorder="1" applyAlignment="1">
      <alignment horizontal="right" vertical="center" wrapText="1"/>
    </xf>
    <xf numFmtId="7" fontId="29" fillId="27" borderId="148" xfId="0" applyNumberFormat="1" applyFont="1" applyFill="1" applyBorder="1" applyAlignment="1" applyProtection="1">
      <alignment vertical="center" wrapText="1"/>
      <protection locked="0"/>
    </xf>
    <xf numFmtId="7" fontId="29" fillId="27" borderId="72" xfId="0" applyNumberFormat="1" applyFont="1" applyFill="1" applyBorder="1" applyAlignment="1" applyProtection="1">
      <alignment horizontal="right" vertical="center" wrapText="1"/>
      <protection locked="0"/>
    </xf>
    <xf numFmtId="7" fontId="29" fillId="27" borderId="152" xfId="0" applyNumberFormat="1" applyFont="1" applyFill="1" applyBorder="1" applyAlignment="1" applyProtection="1">
      <alignment vertical="center" wrapText="1"/>
      <protection locked="0"/>
    </xf>
    <xf numFmtId="37" fontId="29" fillId="27" borderId="148" xfId="0" applyNumberFormat="1" applyFont="1" applyFill="1" applyBorder="1" applyAlignment="1" applyProtection="1">
      <alignment horizontal="center" vertical="center" wrapText="1"/>
      <protection locked="0"/>
    </xf>
    <xf numFmtId="37" fontId="29" fillId="27" borderId="152" xfId="0" applyNumberFormat="1" applyFont="1" applyFill="1" applyBorder="1" applyAlignment="1" applyProtection="1">
      <alignment horizontal="center" vertical="center" wrapText="1"/>
      <protection locked="0"/>
    </xf>
    <xf numFmtId="7" fontId="29" fillId="27" borderId="151" xfId="0" applyNumberFormat="1" applyFont="1" applyFill="1" applyBorder="1" applyAlignment="1" applyProtection="1">
      <alignment vertical="center" wrapText="1"/>
      <protection locked="0"/>
    </xf>
    <xf numFmtId="7" fontId="30" fillId="0" borderId="148" xfId="0" applyNumberFormat="1" applyFont="1" applyBorder="1" applyAlignment="1">
      <alignment vertical="center" wrapText="1"/>
    </xf>
    <xf numFmtId="167" fontId="30" fillId="0" borderId="149" xfId="0" applyNumberFormat="1" applyFont="1" applyBorder="1" applyAlignment="1">
      <alignment horizontal="center" vertical="center" wrapText="1"/>
    </xf>
    <xf numFmtId="7" fontId="30" fillId="0" borderId="150" xfId="0" applyNumberFormat="1" applyFont="1" applyBorder="1" applyAlignment="1">
      <alignment horizontal="right" vertical="center" wrapText="1"/>
    </xf>
    <xf numFmtId="37" fontId="29" fillId="27" borderId="150" xfId="0" applyNumberFormat="1" applyFont="1" applyFill="1" applyBorder="1" applyAlignment="1" applyProtection="1">
      <alignment horizontal="center" vertical="center" wrapText="1"/>
      <protection locked="0"/>
    </xf>
    <xf numFmtId="7" fontId="30" fillId="0" borderId="150" xfId="0" applyNumberFormat="1" applyFont="1" applyBorder="1" applyAlignment="1">
      <alignment vertical="center" wrapText="1"/>
    </xf>
    <xf numFmtId="7" fontId="30" fillId="0" borderId="150" xfId="0" applyNumberFormat="1" applyFont="1" applyBorder="1" applyAlignment="1">
      <alignment vertical="center"/>
    </xf>
    <xf numFmtId="0" fontId="28" fillId="0" borderId="24" xfId="0" applyFont="1" applyBorder="1" applyAlignment="1">
      <alignment horizontal="center" vertical="top" wrapText="1"/>
    </xf>
    <xf numFmtId="165" fontId="4" fillId="0" borderId="0" xfId="0" applyNumberFormat="1" applyFont="1" applyAlignment="1">
      <alignment vertical="top" wrapText="1"/>
    </xf>
    <xf numFmtId="0" fontId="2" fillId="0" borderId="98" xfId="0" applyFont="1" applyBorder="1" applyAlignment="1">
      <alignment horizontal="right" vertical="center" wrapText="1"/>
    </xf>
    <xf numFmtId="0" fontId="4" fillId="0" borderId="98" xfId="0" applyFont="1" applyBorder="1" applyAlignment="1">
      <alignment horizontal="right" vertical="center" wrapText="1"/>
    </xf>
    <xf numFmtId="0" fontId="2" fillId="0" borderId="97" xfId="0" applyFont="1" applyBorder="1" applyAlignment="1">
      <alignment horizontal="right" vertical="center" wrapText="1"/>
    </xf>
    <xf numFmtId="0" fontId="4" fillId="0" borderId="97" xfId="0" applyFont="1" applyBorder="1" applyAlignment="1">
      <alignment horizontal="right" vertical="center" wrapText="1"/>
    </xf>
    <xf numFmtId="0" fontId="1" fillId="27" borderId="6" xfId="0" applyFont="1" applyFill="1" applyBorder="1" applyAlignment="1" applyProtection="1">
      <alignment horizontal="center" vertical="center" wrapText="1"/>
      <protection locked="0"/>
    </xf>
    <xf numFmtId="164" fontId="1" fillId="27" borderId="6"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43" fontId="1" fillId="31" borderId="5" xfId="0" applyNumberFormat="1" applyFont="1" applyFill="1" applyBorder="1" applyAlignment="1" applyProtection="1">
      <alignment horizontal="center" vertical="center" wrapText="1"/>
      <protection locked="0"/>
    </xf>
    <xf numFmtId="44" fontId="1" fillId="27" borderId="6" xfId="0" applyNumberFormat="1" applyFont="1" applyFill="1" applyBorder="1" applyAlignment="1" applyProtection="1">
      <alignment horizontal="center" vertical="center" wrapText="1"/>
      <protection locked="0"/>
    </xf>
    <xf numFmtId="0" fontId="1" fillId="27" borderId="11" xfId="0" applyFont="1" applyFill="1" applyBorder="1" applyAlignment="1" applyProtection="1">
      <alignment horizontal="center" vertical="center" wrapText="1"/>
      <protection locked="0"/>
    </xf>
    <xf numFmtId="0" fontId="1" fillId="27" borderId="10" xfId="0" applyFont="1" applyFill="1" applyBorder="1" applyAlignment="1" applyProtection="1">
      <alignment horizontal="center" vertical="center" wrapText="1"/>
      <protection locked="0"/>
    </xf>
    <xf numFmtId="43" fontId="1" fillId="27" borderId="6"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wrapText="1"/>
    </xf>
    <xf numFmtId="0" fontId="2" fillId="0" borderId="0" xfId="0" applyFont="1"/>
    <xf numFmtId="0" fontId="1" fillId="0" borderId="12" xfId="0" applyFont="1" applyBorder="1" applyAlignment="1">
      <alignment horizontal="center" vertical="center" wrapText="1"/>
    </xf>
    <xf numFmtId="43" fontId="1" fillId="0" borderId="5" xfId="0" applyNumberFormat="1" applyFont="1" applyBorder="1" applyAlignment="1">
      <alignment horizontal="center" vertical="center" wrapText="1"/>
    </xf>
    <xf numFmtId="43" fontId="1" fillId="0" borderId="6" xfId="0" applyNumberFormat="1" applyFont="1" applyBorder="1" applyAlignment="1">
      <alignment horizontal="center" vertical="center" wrapText="1"/>
    </xf>
    <xf numFmtId="0" fontId="2" fillId="0" borderId="3" xfId="0" applyFont="1" applyBorder="1" applyAlignment="1">
      <alignment horizontal="center" vertical="top" wrapText="1"/>
    </xf>
    <xf numFmtId="0" fontId="2" fillId="0" borderId="15" xfId="0" applyFont="1" applyBorder="1" applyAlignment="1">
      <alignment horizontal="center" vertical="top" wrapText="1"/>
    </xf>
    <xf numFmtId="43" fontId="1" fillId="31" borderId="14" xfId="0" applyNumberFormat="1" applyFont="1" applyFill="1" applyBorder="1" applyAlignment="1" applyProtection="1">
      <alignment horizontal="center" vertical="center" wrapText="1"/>
      <protection locked="0"/>
    </xf>
    <xf numFmtId="0" fontId="1" fillId="31" borderId="6" xfId="0" applyFont="1" applyFill="1" applyBorder="1" applyAlignment="1" applyProtection="1">
      <alignment horizontal="center" vertical="center" wrapText="1"/>
      <protection locked="0"/>
    </xf>
    <xf numFmtId="43" fontId="1" fillId="31" borderId="6" xfId="0" applyNumberFormat="1" applyFont="1" applyFill="1" applyBorder="1" applyAlignment="1" applyProtection="1">
      <alignment horizontal="center" vertical="center" wrapText="1"/>
      <protection locked="0"/>
    </xf>
    <xf numFmtId="0" fontId="1" fillId="31" borderId="11" xfId="0" applyFont="1" applyFill="1" applyBorder="1" applyAlignment="1" applyProtection="1">
      <alignment horizontal="center" vertical="center" wrapText="1"/>
      <protection locked="0"/>
    </xf>
    <xf numFmtId="44" fontId="1" fillId="31" borderId="6"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44" fillId="0" borderId="0" xfId="0" applyFont="1" applyAlignment="1">
      <alignment horizontal="right"/>
    </xf>
    <xf numFmtId="0" fontId="2" fillId="0" borderId="15" xfId="0" applyFont="1" applyBorder="1" applyAlignment="1">
      <alignment horizontal="center" wrapText="1"/>
    </xf>
    <xf numFmtId="0" fontId="2" fillId="0" borderId="14"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12" fillId="0" borderId="12" xfId="0" applyFont="1" applyBorder="1" applyAlignment="1">
      <alignment horizontal="center" wrapText="1"/>
    </xf>
    <xf numFmtId="0" fontId="12"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26" fillId="0" borderId="0" xfId="0" applyFont="1"/>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1" fillId="31" borderId="12" xfId="0" applyFont="1" applyFill="1" applyBorder="1" applyAlignment="1" applyProtection="1">
      <alignment horizontal="center" vertical="center" wrapText="1"/>
      <protection locked="0"/>
    </xf>
    <xf numFmtId="166" fontId="1" fillId="31" borderId="12" xfId="0" applyNumberFormat="1" applyFont="1" applyFill="1" applyBorder="1" applyAlignment="1" applyProtection="1">
      <alignment horizontal="center" vertical="center" wrapText="1"/>
      <protection locked="0"/>
    </xf>
    <xf numFmtId="43" fontId="1" fillId="31" borderId="12" xfId="0" applyNumberFormat="1" applyFont="1" applyFill="1" applyBorder="1" applyAlignment="1" applyProtection="1">
      <alignment horizontal="center" vertical="center" wrapText="1"/>
      <protection locked="0"/>
    </xf>
    <xf numFmtId="0" fontId="1" fillId="31" borderId="15" xfId="0" applyFont="1" applyFill="1" applyBorder="1" applyAlignment="1" applyProtection="1">
      <alignment horizontal="center" vertical="center" wrapText="1"/>
      <protection locked="0"/>
    </xf>
    <xf numFmtId="166" fontId="1" fillId="31" borderId="15" xfId="0" applyNumberFormat="1" applyFont="1" applyFill="1" applyBorder="1" applyAlignment="1" applyProtection="1">
      <alignment horizontal="center" vertical="center" wrapText="1"/>
      <protection locked="0"/>
    </xf>
    <xf numFmtId="43" fontId="1" fillId="31" borderId="15" xfId="0" applyNumberFormat="1" applyFont="1" applyFill="1" applyBorder="1" applyAlignment="1" applyProtection="1">
      <alignment horizontal="center" vertical="center" wrapText="1"/>
      <protection locked="0"/>
    </xf>
    <xf numFmtId="164" fontId="1" fillId="31" borderId="6" xfId="0" applyNumberFormat="1" applyFont="1" applyFill="1" applyBorder="1" applyAlignment="1" applyProtection="1">
      <alignment horizontal="center" vertical="center" wrapText="1"/>
      <protection locked="0"/>
    </xf>
    <xf numFmtId="0" fontId="1" fillId="27" borderId="12" xfId="0" applyFont="1" applyFill="1" applyBorder="1" applyAlignment="1" applyProtection="1">
      <alignment horizontal="center" vertical="center" wrapText="1"/>
      <protection locked="0"/>
    </xf>
    <xf numFmtId="164" fontId="1" fillId="27" borderId="12" xfId="0" applyNumberFormat="1" applyFont="1" applyFill="1" applyBorder="1" applyAlignment="1" applyProtection="1">
      <alignment horizontal="center" vertical="center" wrapText="1"/>
      <protection locked="0"/>
    </xf>
    <xf numFmtId="44" fontId="1" fillId="27" borderId="11" xfId="0" applyNumberFormat="1" applyFont="1" applyFill="1" applyBorder="1" applyAlignment="1" applyProtection="1">
      <alignment horizontal="center" vertical="center" wrapText="1"/>
      <protection locked="0"/>
    </xf>
    <xf numFmtId="164" fontId="1" fillId="31" borderId="12" xfId="0" applyNumberFormat="1" applyFont="1" applyFill="1" applyBorder="1" applyAlignment="1" applyProtection="1">
      <alignment horizontal="center" vertical="center" wrapText="1"/>
      <protection locked="0"/>
    </xf>
    <xf numFmtId="43" fontId="1" fillId="31" borderId="11" xfId="0" applyNumberFormat="1" applyFont="1" applyFill="1" applyBorder="1" applyAlignment="1" applyProtection="1">
      <alignment horizontal="center" vertical="center" wrapText="1"/>
      <protection locked="0"/>
    </xf>
    <xf numFmtId="164" fontId="1" fillId="31" borderId="11" xfId="0" applyNumberFormat="1" applyFont="1" applyFill="1" applyBorder="1" applyAlignment="1" applyProtection="1">
      <alignment horizontal="center" vertical="center" wrapText="1"/>
      <protection locked="0"/>
    </xf>
    <xf numFmtId="166" fontId="1" fillId="31" borderId="11" xfId="0" applyNumberFormat="1" applyFont="1" applyFill="1" applyBorder="1" applyAlignment="1" applyProtection="1">
      <alignment horizontal="center" vertical="center" wrapText="1"/>
      <protection locked="0"/>
    </xf>
    <xf numFmtId="164" fontId="1" fillId="27" borderId="11" xfId="0" applyNumberFormat="1" applyFont="1" applyFill="1" applyBorder="1" applyAlignment="1" applyProtection="1">
      <alignment horizontal="center" vertical="center" wrapText="1"/>
      <protection locked="0"/>
    </xf>
    <xf numFmtId="0" fontId="2" fillId="2" borderId="15" xfId="0" applyFont="1" applyFill="1" applyBorder="1" applyAlignment="1">
      <alignment vertical="top"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0" fontId="2" fillId="0" borderId="3" xfId="0" applyFont="1" applyBorder="1" applyAlignment="1">
      <alignment horizontal="center" vertical="center" wrapText="1"/>
    </xf>
    <xf numFmtId="10" fontId="0" fillId="28" borderId="31" xfId="0" applyNumberFormat="1" applyFill="1" applyBorder="1" applyAlignment="1">
      <alignment wrapText="1"/>
    </xf>
    <xf numFmtId="10" fontId="0" fillId="28" borderId="31" xfId="0" applyNumberFormat="1" applyFill="1" applyBorder="1"/>
    <xf numFmtId="10" fontId="0" fillId="28" borderId="20" xfId="0" applyNumberFormat="1" applyFill="1" applyBorder="1"/>
    <xf numFmtId="166" fontId="0" fillId="0" borderId="0" xfId="0" applyNumberFormat="1"/>
    <xf numFmtId="166" fontId="0" fillId="0" borderId="24" xfId="0" applyNumberFormat="1" applyBorder="1"/>
    <xf numFmtId="0" fontId="0" fillId="0" borderId="21" xfId="0" applyBorder="1"/>
    <xf numFmtId="0" fontId="0" fillId="0" borderId="23" xfId="0" applyBorder="1"/>
    <xf numFmtId="166" fontId="0" fillId="0" borderId="22" xfId="0" applyNumberFormat="1" applyBorder="1"/>
    <xf numFmtId="166" fontId="0" fillId="0" borderId="25" xfId="0" applyNumberFormat="1" applyBorder="1"/>
    <xf numFmtId="168" fontId="0" fillId="28" borderId="20" xfId="0" applyNumberFormat="1" applyFill="1" applyBorder="1"/>
    <xf numFmtId="1" fontId="4" fillId="27" borderId="68" xfId="0" applyNumberFormat="1" applyFont="1" applyFill="1" applyBorder="1" applyAlignment="1" applyProtection="1">
      <alignment horizontal="center" vertical="top" wrapText="1"/>
      <protection locked="0"/>
    </xf>
    <xf numFmtId="3" fontId="68" fillId="27" borderId="17" xfId="2" applyNumberFormat="1" applyFont="1" applyFill="1" applyBorder="1" applyAlignment="1" applyProtection="1">
      <alignment horizontal="center" vertical="top" wrapText="1"/>
      <protection locked="0"/>
    </xf>
    <xf numFmtId="1" fontId="4" fillId="27" borderId="69" xfId="0" applyNumberFormat="1" applyFont="1" applyFill="1" applyBorder="1" applyAlignment="1" applyProtection="1">
      <alignment horizontal="center" vertical="top" wrapText="1"/>
      <protection locked="0"/>
    </xf>
    <xf numFmtId="3" fontId="68" fillId="27" borderId="68" xfId="2" applyNumberFormat="1" applyFont="1" applyFill="1" applyBorder="1" applyAlignment="1" applyProtection="1">
      <alignment horizontal="center" vertical="top" wrapText="1"/>
      <protection locked="0"/>
    </xf>
    <xf numFmtId="0" fontId="67" fillId="0" borderId="0" xfId="0" applyFont="1"/>
    <xf numFmtId="49" fontId="1" fillId="27" borderId="16" xfId="0" applyNumberFormat="1" applyFont="1" applyFill="1" applyBorder="1" applyAlignment="1" applyProtection="1">
      <alignment vertical="top" wrapText="1"/>
      <protection locked="0"/>
    </xf>
    <xf numFmtId="10" fontId="67" fillId="0" borderId="0" xfId="0" applyNumberFormat="1" applyFont="1" applyAlignment="1">
      <alignment wrapText="1"/>
    </xf>
    <xf numFmtId="1" fontId="67" fillId="0" borderId="0" xfId="0" applyNumberFormat="1" applyFont="1"/>
    <xf numFmtId="166" fontId="0" fillId="0" borderId="118" xfId="0" applyNumberFormat="1" applyBorder="1"/>
    <xf numFmtId="49" fontId="2" fillId="0" borderId="0" xfId="0" applyNumberFormat="1" applyFont="1" applyAlignment="1">
      <alignment horizontal="center" vertical="center" wrapText="1"/>
    </xf>
    <xf numFmtId="0" fontId="2" fillId="0" borderId="7" xfId="0" applyFont="1" applyBorder="1" applyAlignment="1">
      <alignment horizontal="center" vertical="center" wrapText="1"/>
    </xf>
    <xf numFmtId="0" fontId="6" fillId="0" borderId="13" xfId="0" applyFont="1" applyBorder="1" applyAlignment="1">
      <alignment horizontal="center" vertical="center" wrapText="1"/>
    </xf>
    <xf numFmtId="171" fontId="2" fillId="0" borderId="0" xfId="0" applyNumberFormat="1" applyFont="1" applyAlignment="1">
      <alignment horizontal="center" vertical="center"/>
    </xf>
    <xf numFmtId="0" fontId="0" fillId="0" borderId="23" xfId="0" applyBorder="1" applyAlignment="1">
      <alignment wrapText="1"/>
    </xf>
    <xf numFmtId="0" fontId="0" fillId="0" borderId="118" xfId="0" applyBorder="1" applyAlignment="1">
      <alignment wrapText="1"/>
    </xf>
    <xf numFmtId="0" fontId="0" fillId="28" borderId="118" xfId="0" applyFill="1" applyBorder="1" applyAlignment="1">
      <alignment wrapText="1"/>
    </xf>
    <xf numFmtId="0" fontId="0" fillId="0" borderId="25" xfId="0" applyBorder="1" applyAlignment="1">
      <alignment wrapText="1"/>
    </xf>
    <xf numFmtId="0" fontId="2" fillId="0" borderId="59" xfId="0" applyFont="1" applyBorder="1" applyAlignment="1">
      <alignment horizontal="center" vertical="top" wrapText="1"/>
    </xf>
    <xf numFmtId="0" fontId="2" fillId="0" borderId="35" xfId="0" applyFont="1" applyBorder="1" applyAlignment="1">
      <alignment horizontal="right" vertical="center" wrapText="1"/>
    </xf>
    <xf numFmtId="0" fontId="7" fillId="0" borderId="44" xfId="0" applyFont="1" applyBorder="1" applyAlignment="1">
      <alignment horizontal="center" wrapText="1"/>
    </xf>
    <xf numFmtId="0" fontId="7" fillId="0" borderId="42" xfId="0" applyFont="1" applyBorder="1" applyAlignment="1">
      <alignment horizontal="center" wrapText="1"/>
    </xf>
    <xf numFmtId="0" fontId="7" fillId="0" borderId="48" xfId="0" applyFont="1" applyBorder="1" applyAlignment="1">
      <alignment horizontal="center" wrapText="1"/>
    </xf>
    <xf numFmtId="0" fontId="7" fillId="0" borderId="18" xfId="0" applyFont="1" applyBorder="1" applyAlignment="1">
      <alignment horizontal="center" wrapText="1"/>
    </xf>
    <xf numFmtId="0" fontId="7" fillId="0" borderId="16" xfId="0" applyFont="1" applyBorder="1" applyAlignment="1">
      <alignment horizontal="center" wrapText="1"/>
    </xf>
    <xf numFmtId="0" fontId="7" fillId="0" borderId="68" xfId="0" applyFont="1" applyBorder="1" applyAlignment="1">
      <alignment horizontal="center" wrapText="1"/>
    </xf>
    <xf numFmtId="0" fontId="66" fillId="0" borderId="34" xfId="0" applyFont="1" applyBorder="1" applyAlignment="1">
      <alignment horizontal="center" wrapText="1"/>
    </xf>
    <xf numFmtId="0" fontId="12" fillId="0" borderId="34" xfId="0" applyFont="1" applyBorder="1" applyAlignment="1">
      <alignment horizontal="center" wrapText="1"/>
    </xf>
    <xf numFmtId="0" fontId="12" fillId="0" borderId="33" xfId="0" applyFont="1" applyBorder="1" applyAlignment="1">
      <alignment wrapText="1"/>
    </xf>
    <xf numFmtId="0" fontId="12" fillId="0" borderId="107" xfId="0" applyFont="1" applyBorder="1" applyAlignment="1">
      <alignment horizontal="center" wrapText="1"/>
    </xf>
    <xf numFmtId="0" fontId="12" fillId="0" borderId="145" xfId="0" applyFont="1" applyBorder="1" applyAlignment="1">
      <alignment horizontal="center" wrapText="1"/>
    </xf>
    <xf numFmtId="0" fontId="12" fillId="0" borderId="146" xfId="0" applyFont="1" applyBorder="1" applyAlignment="1">
      <alignment horizontal="center" wrapText="1"/>
    </xf>
    <xf numFmtId="0" fontId="12" fillId="0" borderId="14" xfId="0" applyFont="1" applyBorder="1" applyAlignment="1">
      <alignment horizontal="center" wrapText="1"/>
    </xf>
    <xf numFmtId="49" fontId="2" fillId="31" borderId="158" xfId="0" applyNumberFormat="1" applyFont="1" applyFill="1" applyBorder="1" applyAlignment="1" applyProtection="1">
      <alignment horizontal="right" shrinkToFit="1"/>
      <protection locked="0"/>
    </xf>
    <xf numFmtId="49" fontId="2" fillId="31" borderId="68" xfId="0" applyNumberFormat="1" applyFont="1" applyFill="1" applyBorder="1" applyAlignment="1" applyProtection="1">
      <alignment horizontal="right" shrinkToFit="1"/>
      <protection locked="0"/>
    </xf>
    <xf numFmtId="49" fontId="2" fillId="31" borderId="69" xfId="0" applyNumberFormat="1" applyFont="1" applyFill="1" applyBorder="1" applyAlignment="1" applyProtection="1">
      <alignment horizontal="right" shrinkToFit="1"/>
      <protection locked="0"/>
    </xf>
    <xf numFmtId="44" fontId="1" fillId="27" borderId="42" xfId="0" applyNumberFormat="1" applyFont="1" applyFill="1" applyBorder="1" applyAlignment="1" applyProtection="1">
      <alignment horizontal="right"/>
      <protection locked="0"/>
    </xf>
    <xf numFmtId="44" fontId="1" fillId="27" borderId="48" xfId="0" applyNumberFormat="1" applyFont="1" applyFill="1" applyBorder="1" applyProtection="1">
      <protection locked="0"/>
    </xf>
    <xf numFmtId="164" fontId="1" fillId="27" borderId="37" xfId="0" applyNumberFormat="1" applyFont="1" applyFill="1" applyBorder="1" applyAlignment="1" applyProtection="1">
      <alignment horizontal="center"/>
      <protection locked="0"/>
    </xf>
    <xf numFmtId="164" fontId="1" fillId="27" borderId="18" xfId="0" applyNumberFormat="1" applyFont="1" applyFill="1" applyBorder="1" applyAlignment="1" applyProtection="1">
      <alignment horizontal="center"/>
      <protection locked="0"/>
    </xf>
    <xf numFmtId="0" fontId="9" fillId="0" borderId="1" xfId="0" applyFont="1" applyBorder="1" applyAlignment="1">
      <alignment horizontal="left" vertical="top" wrapText="1" indent="1"/>
    </xf>
    <xf numFmtId="0" fontId="9" fillId="0" borderId="2" xfId="0" applyFont="1" applyBorder="1" applyAlignment="1">
      <alignment horizontal="left" vertical="top" wrapText="1" indent="1"/>
    </xf>
    <xf numFmtId="0" fontId="9" fillId="0" borderId="3" xfId="0" applyFont="1" applyBorder="1" applyAlignment="1">
      <alignment horizontal="left" vertical="top" wrapText="1" indent="1"/>
    </xf>
    <xf numFmtId="0" fontId="1" fillId="27" borderId="15" xfId="0" applyFont="1" applyFill="1" applyBorder="1" applyAlignment="1" applyProtection="1">
      <alignment horizontal="center" vertical="center" wrapText="1"/>
      <protection locked="0"/>
    </xf>
    <xf numFmtId="0" fontId="1" fillId="27" borderId="13" xfId="0" applyFont="1" applyFill="1" applyBorder="1" applyAlignment="1" applyProtection="1">
      <alignment horizontal="center" vertical="center" wrapText="1"/>
      <protection locked="0"/>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15" fillId="0" borderId="7" xfId="0" applyFont="1" applyBorder="1" applyAlignment="1">
      <alignment horizontal="left" vertical="top" wrapText="1" indent="3"/>
    </xf>
    <xf numFmtId="0" fontId="15" fillId="0" borderId="0" xfId="0" applyFont="1" applyAlignment="1">
      <alignment horizontal="left" vertical="top" wrapText="1" indent="3"/>
    </xf>
    <xf numFmtId="0" fontId="15" fillId="0" borderId="8" xfId="0" applyFont="1" applyBorder="1" applyAlignment="1">
      <alignment horizontal="left" vertical="top" wrapText="1" indent="3"/>
    </xf>
    <xf numFmtId="0" fontId="0" fillId="0" borderId="7" xfId="0" applyBorder="1" applyAlignment="1">
      <alignment horizontal="left" vertical="top" wrapText="1" indent="3"/>
    </xf>
    <xf numFmtId="0" fontId="0" fillId="0" borderId="0" xfId="0" applyAlignment="1">
      <alignment horizontal="left" vertical="top" wrapText="1" indent="3"/>
    </xf>
    <xf numFmtId="0" fontId="0" fillId="0" borderId="8" xfId="0" applyBorder="1" applyAlignment="1">
      <alignment horizontal="left" vertical="top" wrapText="1" indent="3"/>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1" fontId="6" fillId="0" borderId="9" xfId="0" applyNumberFormat="1" applyFont="1" applyBorder="1" applyAlignment="1" applyProtection="1">
      <alignment horizontal="center" vertical="center" wrapText="1"/>
      <protection hidden="1"/>
    </xf>
    <xf numFmtId="1" fontId="6" fillId="0" borderId="11" xfId="0" applyNumberFormat="1" applyFont="1" applyBorder="1" applyAlignment="1" applyProtection="1">
      <alignment horizontal="center" vertical="center" wrapText="1"/>
      <protection hidden="1"/>
    </xf>
    <xf numFmtId="49" fontId="2" fillId="27" borderId="2" xfId="0" applyNumberFormat="1" applyFont="1" applyFill="1" applyBorder="1" applyAlignment="1" applyProtection="1">
      <alignment horizontal="left" vertical="top" wrapText="1"/>
      <protection locked="0"/>
    </xf>
    <xf numFmtId="49" fontId="2" fillId="27" borderId="3" xfId="0" applyNumberFormat="1" applyFont="1" applyFill="1" applyBorder="1" applyAlignment="1" applyProtection="1">
      <alignment horizontal="left" vertical="top" wrapText="1"/>
      <protection locked="0"/>
    </xf>
    <xf numFmtId="49" fontId="2" fillId="27" borderId="5" xfId="0" applyNumberFormat="1" applyFont="1" applyFill="1" applyBorder="1" applyAlignment="1" applyProtection="1">
      <alignment horizontal="left" vertical="top" wrapText="1"/>
      <protection locked="0"/>
    </xf>
    <xf numFmtId="49" fontId="2" fillId="27" borderId="6" xfId="0" applyNumberFormat="1" applyFont="1" applyFill="1" applyBorder="1" applyAlignment="1" applyProtection="1">
      <alignment horizontal="left" vertical="top" wrapText="1"/>
      <protection locked="0"/>
    </xf>
    <xf numFmtId="0" fontId="6" fillId="0" borderId="1"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3" xfId="0" applyFont="1" applyBorder="1" applyAlignment="1">
      <alignment horizontal="left" vertical="top" wrapText="1" indent="1"/>
    </xf>
    <xf numFmtId="0" fontId="6" fillId="0" borderId="7" xfId="0" applyFont="1" applyBorder="1" applyAlignment="1">
      <alignment horizontal="left" vertical="top" wrapText="1" indent="1"/>
    </xf>
    <xf numFmtId="0" fontId="6" fillId="0" borderId="0" xfId="0" applyFont="1" applyAlignment="1">
      <alignment horizontal="left" vertical="top" wrapText="1" indent="1"/>
    </xf>
    <xf numFmtId="0" fontId="6" fillId="0" borderId="8" xfId="0" applyFont="1" applyBorder="1" applyAlignment="1">
      <alignment horizontal="left" vertical="top" wrapText="1" indent="1"/>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1" fillId="0" borderId="7" xfId="0" applyFont="1" applyBorder="1" applyAlignment="1">
      <alignment horizontal="left" wrapText="1" indent="3"/>
    </xf>
    <xf numFmtId="0" fontId="1" fillId="0" borderId="0" xfId="0" applyFont="1" applyAlignment="1">
      <alignment horizontal="left" wrapText="1" indent="3"/>
    </xf>
    <xf numFmtId="0" fontId="1" fillId="0" borderId="8" xfId="0" applyFont="1" applyBorder="1" applyAlignment="1">
      <alignment horizontal="left" wrapText="1" indent="3"/>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7" xfId="0" applyFont="1" applyBorder="1" applyAlignment="1">
      <alignment horizontal="left" vertical="top" wrapText="1" indent="2"/>
    </xf>
    <xf numFmtId="0" fontId="1" fillId="0" borderId="0" xfId="0" applyFont="1" applyAlignment="1">
      <alignment horizontal="left" vertical="top" wrapText="1" indent="2"/>
    </xf>
    <xf numFmtId="0" fontId="1" fillId="0" borderId="8" xfId="0" applyFont="1" applyBorder="1" applyAlignment="1">
      <alignment horizontal="left" vertical="top" wrapText="1" indent="2"/>
    </xf>
    <xf numFmtId="49" fontId="0" fillId="0" borderId="5" xfId="0" applyNumberFormat="1" applyBorder="1" applyAlignment="1" applyProtection="1">
      <alignment wrapText="1"/>
      <protection locked="0"/>
    </xf>
    <xf numFmtId="49" fontId="0" fillId="0" borderId="6" xfId="0" applyNumberFormat="1" applyBorder="1" applyAlignment="1" applyProtection="1">
      <alignment wrapText="1"/>
      <protection locked="0"/>
    </xf>
    <xf numFmtId="0" fontId="24" fillId="0" borderId="7" xfId="0" applyFont="1" applyBorder="1" applyAlignment="1">
      <alignment horizontal="left" vertical="top" wrapText="1" indent="2"/>
    </xf>
    <xf numFmtId="0" fontId="24" fillId="0" borderId="0" xfId="0" applyFont="1" applyAlignment="1">
      <alignment horizontal="left" vertical="top" wrapText="1" indent="2"/>
    </xf>
    <xf numFmtId="0" fontId="24" fillId="0" borderId="8" xfId="0" applyFont="1" applyBorder="1" applyAlignment="1">
      <alignment horizontal="left" vertical="top" wrapText="1" indent="2"/>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right" wrapText="1"/>
    </xf>
    <xf numFmtId="0" fontId="5" fillId="0" borderId="0" xfId="0" applyFont="1" applyAlignment="1">
      <alignment horizontal="right" wrapText="1"/>
    </xf>
    <xf numFmtId="0" fontId="5" fillId="0" borderId="8" xfId="0" applyFont="1" applyBorder="1" applyAlignment="1">
      <alignment horizontal="right" wrapText="1"/>
    </xf>
    <xf numFmtId="0" fontId="5" fillId="0" borderId="4" xfId="0" applyFont="1" applyBorder="1" applyAlignment="1">
      <alignment horizontal="right" wrapText="1"/>
    </xf>
    <xf numFmtId="0" fontId="5" fillId="0" borderId="5" xfId="0" applyFont="1" applyBorder="1" applyAlignment="1">
      <alignment horizontal="right" wrapText="1"/>
    </xf>
    <xf numFmtId="0" fontId="5" fillId="0" borderId="6" xfId="0" applyFont="1" applyBorder="1" applyAlignment="1">
      <alignment horizontal="right"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 xfId="0" applyFont="1" applyBorder="1" applyAlignment="1">
      <alignment horizontal="right" wrapText="1"/>
    </xf>
    <xf numFmtId="0" fontId="5" fillId="0" borderId="2" xfId="0" applyFont="1" applyBorder="1" applyAlignment="1">
      <alignment horizontal="right" wrapText="1"/>
    </xf>
    <xf numFmtId="0" fontId="5" fillId="0" borderId="3" xfId="0" applyFont="1" applyBorder="1" applyAlignment="1">
      <alignment horizontal="right" wrapText="1"/>
    </xf>
    <xf numFmtId="0" fontId="2" fillId="0" borderId="7" xfId="0" applyFont="1" applyBorder="1" applyAlignment="1">
      <alignment horizontal="left" wrapText="1" indent="1"/>
    </xf>
    <xf numFmtId="0" fontId="2" fillId="0" borderId="0" xfId="0" applyFont="1" applyAlignment="1">
      <alignment horizontal="left" wrapText="1" indent="1"/>
    </xf>
    <xf numFmtId="0" fontId="2" fillId="0" borderId="8" xfId="0" applyFont="1" applyBorder="1" applyAlignment="1">
      <alignment horizontal="left" wrapText="1" indent="1"/>
    </xf>
    <xf numFmtId="0" fontId="2" fillId="0" borderId="4" xfId="0" applyFont="1" applyBorder="1" applyAlignment="1">
      <alignment horizontal="left" wrapText="1" indent="1"/>
    </xf>
    <xf numFmtId="0" fontId="2" fillId="0" borderId="5" xfId="0" applyFont="1" applyBorder="1" applyAlignment="1">
      <alignment horizontal="left" wrapText="1" indent="1"/>
    </xf>
    <xf numFmtId="0" fontId="2" fillId="0" borderId="6" xfId="0" applyFont="1" applyBorder="1" applyAlignment="1">
      <alignment horizontal="left" wrapText="1" indent="1"/>
    </xf>
    <xf numFmtId="0" fontId="25" fillId="0" borderId="7" xfId="0" applyFont="1" applyBorder="1" applyAlignment="1">
      <alignment horizontal="left" vertical="top" wrapText="1" indent="2"/>
    </xf>
    <xf numFmtId="0" fontId="25" fillId="0" borderId="0" xfId="0" applyFont="1" applyAlignment="1">
      <alignment horizontal="left" vertical="top" wrapText="1" indent="2"/>
    </xf>
    <xf numFmtId="0" fontId="25" fillId="0" borderId="8" xfId="0" applyFont="1" applyBorder="1" applyAlignment="1">
      <alignment horizontal="left" vertical="top" wrapText="1" indent="2"/>
    </xf>
    <xf numFmtId="164" fontId="1" fillId="27" borderId="16" xfId="0" applyNumberFormat="1" applyFont="1" applyFill="1" applyBorder="1" applyAlignment="1" applyProtection="1">
      <alignment horizontal="center"/>
      <protection locked="0"/>
    </xf>
    <xf numFmtId="44" fontId="1" fillId="27" borderId="16" xfId="0" applyNumberFormat="1" applyFont="1" applyFill="1" applyBorder="1" applyAlignment="1" applyProtection="1">
      <alignment horizontal="right"/>
      <protection locked="0"/>
    </xf>
    <xf numFmtId="44" fontId="1" fillId="27" borderId="38" xfId="0" applyNumberFormat="1" applyFont="1" applyFill="1" applyBorder="1" applyProtection="1">
      <protection locked="0"/>
    </xf>
    <xf numFmtId="44" fontId="6" fillId="0" borderId="45" xfId="0" applyNumberFormat="1" applyFont="1" applyBorder="1" applyAlignment="1">
      <alignment horizontal="right"/>
    </xf>
    <xf numFmtId="44" fontId="6" fillId="0" borderId="39" xfId="0" applyNumberFormat="1" applyFont="1" applyBorder="1"/>
    <xf numFmtId="1" fontId="6" fillId="0" borderId="54" xfId="0" applyNumberFormat="1" applyFont="1" applyBorder="1" applyAlignment="1">
      <alignment horizontal="right"/>
    </xf>
    <xf numFmtId="1" fontId="6" fillId="0" borderId="55" xfId="0" applyNumberFormat="1" applyFont="1" applyBorder="1" applyAlignment="1">
      <alignment horizontal="right"/>
    </xf>
    <xf numFmtId="0" fontId="6" fillId="0" borderId="35" xfId="0" applyFont="1" applyBorder="1" applyAlignment="1">
      <alignment horizontal="center"/>
    </xf>
    <xf numFmtId="0" fontId="6" fillId="0" borderId="25" xfId="0" applyFont="1" applyBorder="1" applyAlignment="1">
      <alignment horizontal="center"/>
    </xf>
    <xf numFmtId="0" fontId="6" fillId="0" borderId="41" xfId="0" applyFont="1" applyBorder="1" applyAlignment="1">
      <alignment horizontal="center"/>
    </xf>
    <xf numFmtId="0" fontId="6" fillId="0" borderId="47"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3" xfId="0" applyFont="1" applyBorder="1" applyAlignment="1">
      <alignment horizontal="center"/>
    </xf>
    <xf numFmtId="0" fontId="1" fillId="0" borderId="7" xfId="0" applyFont="1" applyBorder="1" applyAlignment="1">
      <alignment horizontal="left" vertical="top" wrapText="1" indent="3"/>
    </xf>
    <xf numFmtId="0" fontId="1" fillId="0" borderId="0" xfId="0" applyFont="1" applyAlignment="1">
      <alignment horizontal="left" vertical="top" wrapText="1" indent="3"/>
    </xf>
    <xf numFmtId="0" fontId="1" fillId="0" borderId="8" xfId="0" applyFont="1" applyBorder="1" applyAlignment="1">
      <alignment horizontal="left" vertical="top" wrapText="1" indent="3"/>
    </xf>
    <xf numFmtId="0" fontId="1" fillId="0" borderId="7" xfId="0" applyFont="1" applyBorder="1" applyAlignment="1">
      <alignment horizontal="left" wrapText="1" indent="2"/>
    </xf>
    <xf numFmtId="0" fontId="1" fillId="0" borderId="0" xfId="0" applyFont="1" applyAlignment="1">
      <alignment horizontal="left" wrapText="1" indent="2"/>
    </xf>
    <xf numFmtId="0" fontId="1" fillId="0" borderId="8" xfId="0" applyFont="1" applyBorder="1" applyAlignment="1">
      <alignment horizontal="left" wrapText="1" indent="2"/>
    </xf>
    <xf numFmtId="49" fontId="2" fillId="27" borderId="7" xfId="0" applyNumberFormat="1" applyFont="1" applyFill="1" applyBorder="1" applyAlignment="1" applyProtection="1">
      <alignment horizontal="left" vertical="top"/>
      <protection locked="0"/>
    </xf>
    <xf numFmtId="49" fontId="2" fillId="27" borderId="0" xfId="0" applyNumberFormat="1" applyFont="1" applyFill="1" applyAlignment="1" applyProtection="1">
      <alignment horizontal="left" vertical="top"/>
      <protection locked="0"/>
    </xf>
    <xf numFmtId="49" fontId="2" fillId="27" borderId="8" xfId="0" applyNumberFormat="1" applyFont="1" applyFill="1" applyBorder="1" applyAlignment="1" applyProtection="1">
      <alignment horizontal="left" vertical="top"/>
      <protection locked="0"/>
    </xf>
    <xf numFmtId="49" fontId="2" fillId="27" borderId="4" xfId="0" applyNumberFormat="1" applyFont="1" applyFill="1" applyBorder="1" applyAlignment="1" applyProtection="1">
      <alignment horizontal="left" vertical="top"/>
      <protection locked="0"/>
    </xf>
    <xf numFmtId="49" fontId="2" fillId="27" borderId="5" xfId="0" applyNumberFormat="1" applyFont="1" applyFill="1" applyBorder="1" applyAlignment="1" applyProtection="1">
      <alignment horizontal="left" vertical="top"/>
      <protection locked="0"/>
    </xf>
    <xf numFmtId="49" fontId="2" fillId="27" borderId="6" xfId="0" applyNumberFormat="1" applyFont="1" applyFill="1" applyBorder="1" applyAlignment="1" applyProtection="1">
      <alignment horizontal="left" vertical="top"/>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6" fillId="0" borderId="54" xfId="0" applyFont="1" applyBorder="1" applyAlignment="1">
      <alignment horizontal="right"/>
    </xf>
    <xf numFmtId="0" fontId="6" fillId="0" borderId="55" xfId="0" applyFont="1" applyBorder="1" applyAlignment="1">
      <alignment horizontal="right"/>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6" xfId="0" applyFont="1" applyBorder="1" applyAlignment="1">
      <alignment horizontal="left"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6" fillId="0" borderId="16" xfId="0" applyFont="1" applyBorder="1" applyAlignment="1">
      <alignment horizontal="center"/>
    </xf>
    <xf numFmtId="0" fontId="6" fillId="0" borderId="18" xfId="0" applyFont="1" applyBorder="1" applyAlignment="1">
      <alignment horizontal="center"/>
    </xf>
    <xf numFmtId="0" fontId="6" fillId="0" borderId="42" xfId="0" applyFont="1" applyBorder="1" applyAlignment="1">
      <alignment horizontal="center"/>
    </xf>
    <xf numFmtId="0" fontId="6" fillId="0" borderId="48" xfId="0" applyFont="1" applyBorder="1" applyAlignment="1">
      <alignment horizont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44" fontId="1" fillId="27" borderId="16" xfId="0" applyNumberFormat="1" applyFont="1" applyFill="1" applyBorder="1" applyAlignment="1" applyProtection="1">
      <alignment horizontal="center"/>
      <protection locked="0"/>
    </xf>
    <xf numFmtId="44" fontId="1" fillId="27" borderId="17" xfId="0" applyNumberFormat="1" applyFont="1" applyFill="1" applyBorder="1" applyAlignment="1" applyProtection="1">
      <alignment horizontal="center"/>
      <protection locked="0"/>
    </xf>
    <xf numFmtId="44" fontId="1" fillId="27" borderId="38" xfId="0" applyNumberFormat="1"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7" fillId="0" borderId="7" xfId="0" applyFont="1" applyBorder="1" applyAlignment="1">
      <alignment horizontal="left" wrapText="1" indent="1"/>
    </xf>
    <xf numFmtId="0" fontId="4" fillId="0" borderId="7" xfId="0" applyFont="1" applyBorder="1" applyAlignment="1">
      <alignment horizontal="left" vertical="top" wrapText="1" indent="3"/>
    </xf>
    <xf numFmtId="0" fontId="4" fillId="0" borderId="0" xfId="0" applyFont="1" applyAlignment="1">
      <alignment horizontal="left" vertical="top" wrapText="1" indent="3"/>
    </xf>
    <xf numFmtId="0" fontId="4" fillId="0" borderId="8" xfId="0" applyFont="1" applyBorder="1" applyAlignment="1">
      <alignment horizontal="left" vertical="top" wrapText="1" indent="3"/>
    </xf>
    <xf numFmtId="0" fontId="6" fillId="0" borderId="30" xfId="0" applyFont="1" applyBorder="1" applyAlignment="1">
      <alignment horizontal="left" indent="1"/>
    </xf>
    <xf numFmtId="0" fontId="6" fillId="0" borderId="31" xfId="0" applyFont="1" applyBorder="1" applyAlignment="1">
      <alignment horizontal="left" indent="1"/>
    </xf>
    <xf numFmtId="164" fontId="1" fillId="27" borderId="31" xfId="0" applyNumberFormat="1" applyFont="1" applyFill="1" applyBorder="1" applyAlignment="1" applyProtection="1">
      <alignment horizontal="left"/>
      <protection locked="0"/>
    </xf>
    <xf numFmtId="164" fontId="1" fillId="27" borderId="20" xfId="0" applyNumberFormat="1" applyFont="1" applyFill="1" applyBorder="1" applyAlignment="1" applyProtection="1">
      <alignment horizontal="left"/>
      <protection locked="0"/>
    </xf>
    <xf numFmtId="0" fontId="1" fillId="0" borderId="37" xfId="0" applyFont="1" applyBorder="1" applyAlignment="1">
      <alignment horizontal="left" indent="3"/>
    </xf>
    <xf numFmtId="0" fontId="1" fillId="0" borderId="17" xfId="0" applyFont="1" applyBorder="1" applyAlignment="1">
      <alignment horizontal="left" indent="3"/>
    </xf>
    <xf numFmtId="0" fontId="1" fillId="0" borderId="35" xfId="0" applyFont="1" applyBorder="1" applyAlignment="1">
      <alignment horizontal="left" wrapText="1" indent="1"/>
    </xf>
    <xf numFmtId="0" fontId="1" fillId="0" borderId="24" xfId="0" applyFont="1" applyBorder="1" applyAlignment="1">
      <alignment horizontal="left" wrapText="1" indent="1"/>
    </xf>
    <xf numFmtId="0" fontId="1" fillId="0" borderId="25" xfId="0" applyFont="1" applyBorder="1" applyAlignment="1">
      <alignment horizontal="left" wrapText="1" indent="1"/>
    </xf>
    <xf numFmtId="0" fontId="6" fillId="0" borderId="37" xfId="0" applyFont="1" applyBorder="1" applyAlignment="1">
      <alignment horizontal="left" wrapText="1" indent="1"/>
    </xf>
    <xf numFmtId="0" fontId="6" fillId="0" borderId="17" xfId="0" applyFont="1" applyBorder="1" applyAlignment="1">
      <alignment horizontal="left" wrapText="1" inden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3" fillId="0" borderId="2" xfId="0" applyFont="1" applyBorder="1"/>
    <xf numFmtId="0" fontId="13" fillId="0" borderId="3" xfId="0" applyFont="1" applyBorder="1"/>
    <xf numFmtId="0" fontId="8" fillId="0" borderId="4" xfId="0" applyFont="1" applyBorder="1" applyAlignment="1">
      <alignment horizontal="left" vertical="top" wrapText="1" indent="1"/>
    </xf>
    <xf numFmtId="0" fontId="8" fillId="0" borderId="5" xfId="0" applyFont="1" applyBorder="1" applyAlignment="1">
      <alignment horizontal="left" vertical="top" wrapText="1" indent="1"/>
    </xf>
    <xf numFmtId="0" fontId="8" fillId="0" borderId="6" xfId="0" applyFont="1" applyBorder="1" applyAlignment="1">
      <alignment horizontal="left" vertical="top" wrapText="1" indent="1"/>
    </xf>
    <xf numFmtId="0" fontId="18" fillId="0" borderId="7" xfId="0" applyFont="1" applyBorder="1" applyAlignment="1">
      <alignment horizontal="left" vertical="top" wrapText="1" indent="3"/>
    </xf>
    <xf numFmtId="0" fontId="18" fillId="0" borderId="0" xfId="0" applyFont="1" applyAlignment="1">
      <alignment horizontal="left" vertical="top" wrapText="1" indent="3"/>
    </xf>
    <xf numFmtId="0" fontId="18" fillId="0" borderId="8" xfId="0" applyFont="1" applyBorder="1" applyAlignment="1">
      <alignment horizontal="left" vertical="top" wrapText="1" indent="3"/>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49" fontId="2" fillId="27" borderId="67" xfId="0" applyNumberFormat="1" applyFont="1" applyFill="1"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2" fillId="0" borderId="7" xfId="0" applyFont="1" applyBorder="1" applyAlignment="1">
      <alignment horizontal="left" vertical="top" wrapText="1" indent="1"/>
    </xf>
    <xf numFmtId="0" fontId="2" fillId="0" borderId="0" xfId="0" applyFont="1" applyAlignment="1">
      <alignment horizontal="left" vertical="top" wrapText="1" indent="1"/>
    </xf>
    <xf numFmtId="0" fontId="2" fillId="0" borderId="8" xfId="0" applyFont="1" applyBorder="1" applyAlignment="1">
      <alignment horizontal="left" vertical="top" wrapText="1" indent="1"/>
    </xf>
    <xf numFmtId="49" fontId="2" fillId="27" borderId="10" xfId="0" applyNumberFormat="1" applyFont="1" applyFill="1" applyBorder="1" applyAlignment="1" applyProtection="1">
      <alignment horizontal="left" vertical="top" wrapText="1"/>
      <protection locked="0"/>
    </xf>
    <xf numFmtId="49" fontId="2" fillId="27" borderId="11" xfId="0" applyNumberFormat="1" applyFont="1" applyFill="1" applyBorder="1" applyAlignment="1" applyProtection="1">
      <alignment horizontal="left" vertical="top" wrapText="1"/>
      <protection locked="0"/>
    </xf>
    <xf numFmtId="0" fontId="1" fillId="0" borderId="44" xfId="0" applyFont="1" applyBorder="1" applyAlignment="1">
      <alignment horizontal="left" vertical="top" wrapText="1" indent="1"/>
    </xf>
    <xf numFmtId="0" fontId="1" fillId="0" borderId="42" xfId="0" applyFont="1" applyBorder="1" applyAlignment="1">
      <alignment horizontal="left" vertical="top" wrapText="1" indent="1"/>
    </xf>
    <xf numFmtId="0" fontId="6" fillId="0" borderId="60" xfId="0" applyFont="1" applyBorder="1" applyAlignment="1">
      <alignment horizontal="center" vertical="top" wrapText="1"/>
    </xf>
    <xf numFmtId="0" fontId="6" fillId="0" borderId="61" xfId="0" applyFont="1" applyBorder="1" applyAlignment="1">
      <alignment horizontal="center" vertical="top" wrapText="1"/>
    </xf>
    <xf numFmtId="0" fontId="6" fillId="0" borderId="62" xfId="0" applyFont="1" applyBorder="1" applyAlignment="1">
      <alignment horizontal="center" vertical="top" wrapText="1"/>
    </xf>
    <xf numFmtId="0" fontId="12" fillId="0" borderId="44" xfId="0" applyFont="1" applyBorder="1" applyAlignment="1">
      <alignment horizontal="left" vertical="top" wrapText="1" indent="1"/>
    </xf>
    <xf numFmtId="0" fontId="42" fillId="0" borderId="42" xfId="0" applyFont="1" applyBorder="1" applyAlignment="1">
      <alignment horizontal="left" indent="1"/>
    </xf>
    <xf numFmtId="0" fontId="0" fillId="0" borderId="42" xfId="0" applyBorder="1" applyAlignment="1">
      <alignment horizontal="left" indent="1"/>
    </xf>
    <xf numFmtId="164" fontId="1" fillId="27" borderId="0" xfId="0" applyNumberFormat="1" applyFont="1" applyFill="1" applyAlignment="1" applyProtection="1">
      <alignment horizontal="left" vertical="top" wrapText="1"/>
      <protection locked="0"/>
    </xf>
    <xf numFmtId="164" fontId="1" fillId="27" borderId="8" xfId="0" applyNumberFormat="1" applyFont="1" applyFill="1" applyBorder="1" applyAlignment="1" applyProtection="1">
      <alignment horizontal="left" vertical="top" wrapText="1"/>
      <protection locked="0"/>
    </xf>
    <xf numFmtId="0" fontId="1" fillId="27" borderId="1" xfId="0" applyFont="1" applyFill="1" applyBorder="1" applyAlignment="1" applyProtection="1">
      <alignment horizontal="center" vertical="center" wrapText="1"/>
      <protection locked="0"/>
    </xf>
    <xf numFmtId="0" fontId="1" fillId="27" borderId="3" xfId="0" applyFont="1" applyFill="1" applyBorder="1" applyAlignment="1" applyProtection="1">
      <alignment horizontal="center" vertical="center" wrapText="1"/>
      <protection locked="0"/>
    </xf>
    <xf numFmtId="0" fontId="1" fillId="27" borderId="7" xfId="0" applyFont="1" applyFill="1" applyBorder="1" applyAlignment="1" applyProtection="1">
      <alignment horizontal="center" vertical="center" wrapText="1"/>
      <protection locked="0"/>
    </xf>
    <xf numFmtId="0" fontId="1" fillId="27" borderId="8"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 fillId="0" borderId="7" xfId="0" applyFont="1" applyBorder="1" applyAlignment="1">
      <alignment horizontal="left" vertical="top" wrapText="1" indent="1"/>
    </xf>
    <xf numFmtId="0" fontId="1" fillId="0" borderId="0" xfId="0" applyFont="1" applyAlignment="1">
      <alignment horizontal="left" vertical="top" wrapText="1" indent="1"/>
    </xf>
    <xf numFmtId="0" fontId="1" fillId="0" borderId="8" xfId="0" applyFont="1" applyBorder="1" applyAlignment="1">
      <alignment horizontal="left" vertical="top" wrapText="1" indent="1"/>
    </xf>
    <xf numFmtId="0" fontId="2" fillId="0" borderId="9" xfId="0" applyFont="1" applyBorder="1" applyAlignment="1">
      <alignment horizontal="center"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49" fontId="1" fillId="27" borderId="0" xfId="0" applyNumberFormat="1" applyFont="1" applyFill="1" applyAlignment="1" applyProtection="1">
      <alignment horizontal="center" vertical="center" wrapText="1"/>
      <protection locked="0"/>
    </xf>
    <xf numFmtId="49" fontId="1" fillId="27" borderId="8" xfId="0" applyNumberFormat="1" applyFont="1" applyFill="1" applyBorder="1" applyAlignment="1" applyProtection="1">
      <alignment horizontal="center" vertical="center" wrapText="1"/>
      <protection locked="0"/>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49" fontId="1" fillId="27" borderId="23" xfId="0" applyNumberFormat="1" applyFont="1" applyFill="1" applyBorder="1" applyAlignment="1" applyProtection="1">
      <alignment horizontal="center" vertical="center" wrapText="1"/>
      <protection locked="0"/>
    </xf>
    <xf numFmtId="49" fontId="1" fillId="27" borderId="25" xfId="0" applyNumberFormat="1" applyFont="1" applyFill="1" applyBorder="1" applyAlignment="1" applyProtection="1">
      <alignment horizontal="center" vertical="center" wrapText="1"/>
      <protection locked="0"/>
    </xf>
    <xf numFmtId="0" fontId="4" fillId="0" borderId="28" xfId="0" applyFont="1" applyBorder="1" applyAlignment="1">
      <alignment horizontal="left" vertical="top" wrapText="1" indent="1"/>
    </xf>
    <xf numFmtId="49" fontId="1" fillId="27" borderId="35" xfId="0" applyNumberFormat="1" applyFont="1" applyFill="1" applyBorder="1" applyAlignment="1" applyProtection="1">
      <alignment horizontal="left" vertical="center" wrapText="1" indent="1"/>
      <protection locked="0"/>
    </xf>
    <xf numFmtId="49" fontId="1" fillId="27" borderId="118" xfId="0" applyNumberFormat="1" applyFont="1" applyFill="1" applyBorder="1" applyAlignment="1" applyProtection="1">
      <alignment horizontal="left" vertical="center" wrapText="1" indent="1"/>
      <protection locked="0"/>
    </xf>
    <xf numFmtId="49" fontId="1" fillId="27" borderId="25" xfId="0" applyNumberFormat="1" applyFont="1" applyFill="1" applyBorder="1" applyAlignment="1" applyProtection="1">
      <alignment horizontal="left" vertical="center" wrapText="1" indent="1"/>
      <protection locked="0"/>
    </xf>
    <xf numFmtId="0" fontId="4" fillId="0" borderId="60" xfId="0" applyFont="1" applyBorder="1" applyAlignment="1">
      <alignment horizontal="left" vertical="top" wrapText="1" indent="1"/>
    </xf>
    <xf numFmtId="0" fontId="4" fillId="0" borderId="61" xfId="0" applyFont="1" applyBorder="1" applyAlignment="1">
      <alignment horizontal="left" vertical="top" wrapText="1" inden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164" fontId="1" fillId="27" borderId="33" xfId="0" applyNumberFormat="1" applyFont="1" applyFill="1" applyBorder="1" applyAlignment="1" applyProtection="1">
      <alignment horizontal="center" vertical="center" wrapText="1"/>
      <protection locked="0"/>
    </xf>
    <xf numFmtId="164" fontId="1" fillId="27" borderId="34" xfId="0" applyNumberFormat="1" applyFont="1" applyFill="1" applyBorder="1" applyAlignment="1" applyProtection="1">
      <alignment horizontal="center" vertical="center" wrapText="1"/>
      <protection locked="0"/>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164" fontId="1" fillId="27" borderId="33" xfId="0" applyNumberFormat="1" applyFont="1" applyFill="1" applyBorder="1" applyAlignment="1" applyProtection="1">
      <alignment horizontal="center" vertical="center"/>
      <protection locked="0"/>
    </xf>
    <xf numFmtId="164" fontId="1" fillId="27" borderId="34" xfId="0" applyNumberFormat="1" applyFont="1" applyFill="1" applyBorder="1" applyAlignment="1" applyProtection="1">
      <alignment horizontal="center" vertical="center"/>
      <protection locked="0"/>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164" fontId="0" fillId="0" borderId="34" xfId="0" applyNumberFormat="1" applyBorder="1" applyAlignment="1" applyProtection="1">
      <alignment vertical="center" wrapText="1"/>
      <protection locked="0"/>
    </xf>
    <xf numFmtId="0" fontId="4" fillId="0" borderId="30"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36" xfId="0" applyFont="1" applyBorder="1" applyAlignment="1">
      <alignment horizontal="center" vertical="top" wrapText="1"/>
    </xf>
    <xf numFmtId="49" fontId="1" fillId="27" borderId="42" xfId="0" applyNumberFormat="1" applyFont="1" applyFill="1" applyBorder="1" applyAlignment="1" applyProtection="1">
      <alignment horizontal="left" vertical="center" wrapText="1" indent="1"/>
      <protection locked="0"/>
    </xf>
    <xf numFmtId="49" fontId="1" fillId="0" borderId="44" xfId="0" applyNumberFormat="1" applyFont="1" applyBorder="1" applyAlignment="1">
      <alignment horizontal="left" vertical="center" wrapText="1" indent="1"/>
    </xf>
    <xf numFmtId="49" fontId="1" fillId="0" borderId="42" xfId="0" applyNumberFormat="1" applyFont="1" applyBorder="1" applyAlignment="1">
      <alignment horizontal="left" vertical="center" wrapText="1" indent="1"/>
    </xf>
    <xf numFmtId="0" fontId="6" fillId="0" borderId="66" xfId="0" applyFont="1" applyBorder="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6" fillId="0" borderId="61" xfId="0" applyFont="1" applyBorder="1" applyAlignment="1">
      <alignment horizontal="center"/>
    </xf>
    <xf numFmtId="44" fontId="6" fillId="0" borderId="55" xfId="0" applyNumberFormat="1" applyFont="1" applyBorder="1" applyAlignment="1">
      <alignment horizontal="right"/>
    </xf>
    <xf numFmtId="44" fontId="1" fillId="0" borderId="52" xfId="0" applyNumberFormat="1" applyFont="1" applyBorder="1" applyAlignment="1">
      <alignment horizontal="center" vertical="center"/>
    </xf>
    <xf numFmtId="44" fontId="1" fillId="0" borderId="53" xfId="0" applyNumberFormat="1" applyFont="1" applyBorder="1" applyAlignment="1">
      <alignment horizontal="center" vertical="center"/>
    </xf>
    <xf numFmtId="0" fontId="2" fillId="0" borderId="54" xfId="0" applyFont="1" applyBorder="1" applyAlignment="1">
      <alignment horizontal="left" wrapText="1" indent="1"/>
    </xf>
    <xf numFmtId="0" fontId="2" fillId="0" borderId="55" xfId="0" applyFont="1" applyBorder="1" applyAlignment="1">
      <alignment horizontal="left" wrapText="1" indent="1"/>
    </xf>
    <xf numFmtId="0" fontId="2" fillId="0" borderId="39" xfId="0" applyFont="1" applyBorder="1" applyAlignment="1">
      <alignment horizontal="left" wrapText="1" indent="1"/>
    </xf>
    <xf numFmtId="0" fontId="1" fillId="0" borderId="37" xfId="0" applyFont="1" applyBorder="1" applyAlignment="1">
      <alignment horizontal="left" wrapText="1" indent="3"/>
    </xf>
    <xf numFmtId="0" fontId="1" fillId="0" borderId="17" xfId="0" applyFont="1" applyBorder="1" applyAlignment="1">
      <alignment horizontal="left" wrapText="1" indent="3"/>
    </xf>
    <xf numFmtId="0" fontId="1" fillId="0" borderId="18" xfId="0" applyFont="1" applyBorder="1" applyAlignment="1">
      <alignment horizontal="left" wrapText="1" indent="3"/>
    </xf>
    <xf numFmtId="0" fontId="1" fillId="0" borderId="44" xfId="0" applyFont="1" applyBorder="1" applyAlignment="1">
      <alignment horizontal="left" indent="3"/>
    </xf>
    <xf numFmtId="0" fontId="1" fillId="0" borderId="42" xfId="0" applyFont="1" applyBorder="1" applyAlignment="1">
      <alignment horizontal="left" indent="3"/>
    </xf>
    <xf numFmtId="44" fontId="1" fillId="27" borderId="42" xfId="0" applyNumberFormat="1" applyFont="1" applyFill="1" applyBorder="1" applyAlignment="1" applyProtection="1">
      <alignment horizontal="center"/>
      <protection locked="0"/>
    </xf>
    <xf numFmtId="44" fontId="1" fillId="27" borderId="48" xfId="0" applyNumberFormat="1" applyFont="1" applyFill="1" applyBorder="1" applyAlignment="1" applyProtection="1">
      <alignment horizontal="center"/>
      <protection locked="0"/>
    </xf>
    <xf numFmtId="44" fontId="1" fillId="0" borderId="42" xfId="0" applyNumberFormat="1" applyFont="1" applyBorder="1" applyAlignment="1">
      <alignment horizontal="center"/>
    </xf>
    <xf numFmtId="44" fontId="1" fillId="0" borderId="48" xfId="0" applyNumberFormat="1" applyFont="1" applyBorder="1" applyAlignment="1">
      <alignment horizontal="center"/>
    </xf>
    <xf numFmtId="0" fontId="1" fillId="0" borderId="4" xfId="0" applyFont="1" applyBorder="1" applyAlignment="1">
      <alignment horizontal="left" vertical="top" wrapText="1" indent="3"/>
    </xf>
    <xf numFmtId="0" fontId="1" fillId="0" borderId="5" xfId="0" applyFont="1" applyBorder="1" applyAlignment="1">
      <alignment horizontal="left" vertical="top" wrapText="1" indent="3"/>
    </xf>
    <xf numFmtId="0" fontId="1" fillId="0" borderId="6" xfId="0" applyFont="1" applyBorder="1" applyAlignment="1">
      <alignment horizontal="left" vertical="top" wrapText="1" indent="3"/>
    </xf>
    <xf numFmtId="0" fontId="1" fillId="27" borderId="16" xfId="0" applyFont="1" applyFill="1" applyBorder="1" applyAlignment="1" applyProtection="1">
      <alignment horizontal="center" vertical="center" wrapText="1"/>
      <protection locked="0"/>
    </xf>
    <xf numFmtId="0" fontId="1" fillId="27" borderId="38" xfId="0" applyFont="1" applyFill="1" applyBorder="1" applyAlignment="1" applyProtection="1">
      <alignment horizontal="center" vertical="center" wrapText="1"/>
      <protection locked="0"/>
    </xf>
    <xf numFmtId="0" fontId="6" fillId="0" borderId="18" xfId="0" applyFont="1" applyBorder="1" applyAlignment="1">
      <alignment horizontal="left" wrapText="1" indent="1"/>
    </xf>
    <xf numFmtId="0" fontId="1" fillId="0" borderId="52" xfId="0" applyFont="1" applyBorder="1" applyAlignment="1">
      <alignment horizontal="right" vertical="center" indent="1"/>
    </xf>
    <xf numFmtId="0" fontId="1" fillId="0" borderId="41" xfId="0" applyFont="1" applyBorder="1" applyAlignment="1">
      <alignment horizontal="right" vertical="center" indent="1"/>
    </xf>
    <xf numFmtId="164" fontId="1" fillId="27" borderId="17" xfId="0" applyNumberFormat="1" applyFont="1" applyFill="1" applyBorder="1" applyAlignment="1" applyProtection="1">
      <alignment horizontal="left"/>
      <protection locked="0"/>
    </xf>
    <xf numFmtId="164" fontId="1" fillId="27" borderId="18" xfId="0" applyNumberFormat="1" applyFont="1" applyFill="1" applyBorder="1" applyAlignment="1" applyProtection="1">
      <alignment horizontal="left"/>
      <protection locked="0"/>
    </xf>
    <xf numFmtId="0" fontId="6" fillId="0" borderId="37" xfId="0" applyFont="1" applyBorder="1" applyAlignment="1">
      <alignment horizontal="left" indent="1"/>
    </xf>
    <xf numFmtId="0" fontId="6" fillId="0" borderId="17" xfId="0" applyFont="1" applyBorder="1" applyAlignment="1">
      <alignment horizontal="left" indent="1"/>
    </xf>
    <xf numFmtId="44" fontId="1" fillId="27" borderId="19" xfId="0" applyNumberFormat="1" applyFont="1" applyFill="1" applyBorder="1" applyAlignment="1" applyProtection="1">
      <alignment horizontal="center" vertical="center"/>
      <protection locked="0"/>
    </xf>
    <xf numFmtId="44" fontId="1" fillId="27" borderId="32" xfId="0" applyNumberFormat="1" applyFont="1" applyFill="1" applyBorder="1" applyAlignment="1" applyProtection="1">
      <alignment horizontal="center" vertical="center"/>
      <protection locked="0"/>
    </xf>
    <xf numFmtId="44" fontId="1" fillId="27" borderId="23" xfId="0" applyNumberFormat="1" applyFont="1" applyFill="1" applyBorder="1" applyAlignment="1" applyProtection="1">
      <alignment horizontal="center" vertical="center"/>
      <protection locked="0"/>
    </xf>
    <xf numFmtId="44" fontId="1" fillId="27" borderId="36" xfId="0"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27" borderId="4" xfId="0" applyFont="1" applyFill="1" applyBorder="1" applyAlignment="1" applyProtection="1">
      <alignment horizontal="center" vertical="center" wrapText="1"/>
      <protection locked="0"/>
    </xf>
    <xf numFmtId="0" fontId="1" fillId="27" borderId="6" xfId="0" applyFont="1" applyFill="1" applyBorder="1" applyAlignment="1" applyProtection="1">
      <alignment horizontal="center" vertical="center" wrapText="1"/>
      <protection locked="0"/>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5" fillId="0" borderId="11" xfId="0" applyFont="1" applyBorder="1" applyAlignment="1">
      <alignment horizontal="right" vertical="top" wrapText="1"/>
    </xf>
    <xf numFmtId="0" fontId="25" fillId="0" borderId="4" xfId="0" applyFont="1" applyBorder="1" applyAlignment="1">
      <alignment horizontal="left" vertical="top" wrapText="1" indent="2"/>
    </xf>
    <xf numFmtId="0" fontId="25" fillId="0" borderId="5" xfId="0" applyFont="1" applyBorder="1" applyAlignment="1">
      <alignment horizontal="left" vertical="top" wrapText="1" indent="2"/>
    </xf>
    <xf numFmtId="0" fontId="25" fillId="0" borderId="6" xfId="0" applyFont="1" applyBorder="1" applyAlignment="1">
      <alignment horizontal="left" vertical="top" wrapText="1" indent="2"/>
    </xf>
    <xf numFmtId="0" fontId="6" fillId="0" borderId="59" xfId="0" applyFont="1" applyBorder="1" applyAlignment="1">
      <alignment horizontal="left" vertical="top" wrapText="1" indent="1"/>
    </xf>
    <xf numFmtId="0" fontId="6" fillId="0" borderId="52" xfId="0" applyFont="1" applyBorder="1" applyAlignment="1">
      <alignment horizontal="left" vertical="top" wrapText="1" indent="1"/>
    </xf>
    <xf numFmtId="0" fontId="6" fillId="0" borderId="30" xfId="0" applyFont="1" applyBorder="1" applyAlignment="1">
      <alignment horizontal="left" vertical="top" wrapText="1" indent="1"/>
    </xf>
    <xf numFmtId="0" fontId="6" fillId="0" borderId="31" xfId="0" applyFont="1" applyBorder="1" applyAlignment="1">
      <alignment horizontal="left" vertical="top" wrapText="1" indent="1"/>
    </xf>
    <xf numFmtId="0" fontId="6" fillId="0" borderId="20" xfId="0" applyFont="1" applyBorder="1" applyAlignment="1">
      <alignment horizontal="left" vertical="top" wrapText="1" indent="1"/>
    </xf>
    <xf numFmtId="0" fontId="6" fillId="0" borderId="22" xfId="0" applyFont="1" applyBorder="1" applyAlignment="1">
      <alignment horizontal="left" vertical="top" wrapText="1" indent="1"/>
    </xf>
    <xf numFmtId="0" fontId="6" fillId="0" borderId="4" xfId="0" applyFont="1" applyBorder="1" applyAlignment="1">
      <alignment horizontal="left" vertical="top" wrapText="1" indent="1"/>
    </xf>
    <xf numFmtId="0" fontId="6" fillId="0" borderId="5" xfId="0" applyFont="1" applyBorder="1" applyAlignment="1">
      <alignment horizontal="left" vertical="top" wrapText="1" indent="1"/>
    </xf>
    <xf numFmtId="0" fontId="6" fillId="0" borderId="34" xfId="0" applyFont="1" applyBorder="1" applyAlignment="1">
      <alignment horizontal="left" vertical="top" wrapText="1" indent="1"/>
    </xf>
    <xf numFmtId="44" fontId="4" fillId="0" borderId="53" xfId="0" applyNumberFormat="1" applyFont="1" applyBorder="1" applyAlignment="1">
      <alignment horizontal="center" vertical="center" wrapText="1"/>
    </xf>
    <xf numFmtId="44" fontId="4" fillId="0" borderId="73" xfId="0" applyNumberFormat="1" applyFont="1" applyBorder="1" applyAlignment="1">
      <alignment horizontal="center" vertical="center" wrapText="1"/>
    </xf>
    <xf numFmtId="44" fontId="4" fillId="0" borderId="107"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horizontal="left"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4" fillId="0" borderId="35" xfId="0" applyFont="1" applyBorder="1" applyAlignment="1">
      <alignment horizontal="center" vertical="top" wrapText="1"/>
    </xf>
    <xf numFmtId="0" fontId="25" fillId="0" borderId="24" xfId="0" applyFont="1" applyBorder="1" applyAlignment="1">
      <alignment horizontal="center" vertical="top" wrapText="1"/>
    </xf>
    <xf numFmtId="0" fontId="25" fillId="0" borderId="36" xfId="0" applyFont="1" applyBorder="1" applyAlignment="1">
      <alignment horizontal="center" vertical="top" wrapText="1"/>
    </xf>
    <xf numFmtId="44" fontId="1" fillId="27" borderId="19" xfId="0" applyNumberFormat="1" applyFont="1" applyFill="1" applyBorder="1" applyAlignment="1" applyProtection="1">
      <alignment horizontal="center"/>
      <protection locked="0"/>
    </xf>
    <xf numFmtId="44" fontId="1" fillId="27" borderId="32" xfId="0" applyNumberFormat="1" applyFont="1" applyFill="1" applyBorder="1" applyAlignment="1" applyProtection="1">
      <alignment horizontal="center"/>
      <protection locked="0"/>
    </xf>
    <xf numFmtId="0" fontId="6" fillId="0" borderId="50" xfId="0" applyFont="1" applyBorder="1" applyAlignment="1">
      <alignment horizontal="right"/>
    </xf>
    <xf numFmtId="44" fontId="1" fillId="0" borderId="45" xfId="0" applyNumberFormat="1" applyFont="1" applyBorder="1" applyAlignment="1">
      <alignment horizontal="center"/>
    </xf>
    <xf numFmtId="44" fontId="1" fillId="0" borderId="55" xfId="0" applyNumberFormat="1" applyFont="1" applyBorder="1" applyAlignment="1">
      <alignment horizontal="center"/>
    </xf>
    <xf numFmtId="44" fontId="1" fillId="0" borderId="39" xfId="0" applyNumberFormat="1" applyFont="1" applyBorder="1" applyAlignment="1">
      <alignment horizontal="center"/>
    </xf>
    <xf numFmtId="49" fontId="2" fillId="27" borderId="19" xfId="0" applyNumberFormat="1" applyFont="1" applyFill="1"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2" fillId="0" borderId="59" xfId="0" applyFont="1" applyBorder="1" applyAlignment="1">
      <alignment horizontal="center" vertical="top" wrapText="1"/>
    </xf>
    <xf numFmtId="0" fontId="0" fillId="0" borderId="145" xfId="0" applyBorder="1" applyAlignment="1">
      <alignment horizontal="center" vertical="top" wrapText="1"/>
    </xf>
    <xf numFmtId="0" fontId="1" fillId="27" borderId="14" xfId="0" applyFont="1" applyFill="1" applyBorder="1" applyAlignment="1" applyProtection="1">
      <alignment horizontal="center" vertical="center" wrapText="1"/>
      <protection locked="0"/>
    </xf>
    <xf numFmtId="0" fontId="2" fillId="0" borderId="145" xfId="0" applyFont="1" applyBorder="1" applyAlignment="1">
      <alignment horizontal="center" vertical="top" wrapText="1"/>
    </xf>
    <xf numFmtId="49" fontId="2" fillId="27" borderId="31" xfId="0" applyNumberFormat="1" applyFont="1" applyFill="1" applyBorder="1" applyAlignment="1" applyProtection="1">
      <alignment horizontal="center" vertical="top" wrapText="1"/>
      <protection locked="0"/>
    </xf>
    <xf numFmtId="49" fontId="2" fillId="27" borderId="32" xfId="0" applyNumberFormat="1" applyFont="1" applyFill="1" applyBorder="1" applyAlignment="1" applyProtection="1">
      <alignment horizontal="center" vertical="top" wrapText="1"/>
      <protection locked="0"/>
    </xf>
    <xf numFmtId="49" fontId="2" fillId="27" borderId="5" xfId="0" applyNumberFormat="1" applyFont="1" applyFill="1" applyBorder="1" applyAlignment="1" applyProtection="1">
      <alignment horizontal="center" vertical="top" wrapText="1"/>
      <protection locked="0"/>
    </xf>
    <xf numFmtId="49" fontId="2" fillId="27" borderId="6" xfId="0" applyNumberFormat="1" applyFont="1" applyFill="1" applyBorder="1" applyAlignment="1" applyProtection="1">
      <alignment horizontal="center" vertical="top" wrapText="1"/>
      <protection locked="0"/>
    </xf>
    <xf numFmtId="49" fontId="2" fillId="27" borderId="10" xfId="0" applyNumberFormat="1" applyFont="1" applyFill="1" applyBorder="1" applyAlignment="1" applyProtection="1">
      <alignment horizontal="center" vertical="top" wrapText="1"/>
      <protection locked="0"/>
    </xf>
    <xf numFmtId="49" fontId="2" fillId="27" borderId="11" xfId="0" applyNumberFormat="1" applyFont="1" applyFill="1" applyBorder="1" applyAlignment="1" applyProtection="1">
      <alignment horizontal="center" vertical="top" wrapText="1"/>
      <protection locked="0"/>
    </xf>
    <xf numFmtId="0" fontId="6" fillId="0" borderId="9" xfId="0" applyFont="1" applyBorder="1" applyAlignment="1">
      <alignment horizontal="left" wrapText="1" indent="1"/>
    </xf>
    <xf numFmtId="0" fontId="6" fillId="0" borderId="10" xfId="0" applyFont="1" applyBorder="1" applyAlignment="1">
      <alignment horizontal="left" wrapText="1" indent="1"/>
    </xf>
    <xf numFmtId="0" fontId="6" fillId="0" borderId="11" xfId="0" applyFont="1" applyBorder="1" applyAlignment="1">
      <alignment horizontal="left" wrapText="1" indent="1"/>
    </xf>
    <xf numFmtId="0" fontId="1" fillId="0" borderId="4" xfId="0" applyFont="1" applyBorder="1" applyAlignment="1">
      <alignment horizontal="left" vertical="top" wrapText="1" indent="2"/>
    </xf>
    <xf numFmtId="0" fontId="1"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6" fillId="0" borderId="44" xfId="0" applyFont="1" applyBorder="1" applyAlignment="1">
      <alignment horizontal="left" vertical="top" wrapText="1" indent="1"/>
    </xf>
    <xf numFmtId="0" fontId="13" fillId="0" borderId="42" xfId="0" applyFont="1" applyBorder="1" applyAlignment="1">
      <alignment horizontal="left" indent="1"/>
    </xf>
    <xf numFmtId="0" fontId="6" fillId="0" borderId="44" xfId="0" applyFont="1" applyBorder="1" applyAlignment="1">
      <alignment horizontal="left" vertical="center" wrapText="1" indent="1"/>
    </xf>
    <xf numFmtId="0" fontId="13" fillId="0" borderId="44" xfId="0" applyFont="1" applyBorder="1" applyAlignment="1">
      <alignment horizontal="left" indent="1"/>
    </xf>
    <xf numFmtId="44" fontId="4" fillId="0" borderId="48" xfId="0" applyNumberFormat="1" applyFont="1" applyBorder="1" applyAlignment="1">
      <alignment horizontal="center" vertical="center" wrapText="1"/>
    </xf>
    <xf numFmtId="44" fontId="1" fillId="0" borderId="45" xfId="0" applyNumberFormat="1" applyFont="1" applyBorder="1" applyAlignment="1">
      <alignment horizontal="center" vertical="top" wrapText="1"/>
    </xf>
    <xf numFmtId="44" fontId="1" fillId="0" borderId="39" xfId="0" applyNumberFormat="1" applyFont="1" applyBorder="1" applyAlignment="1">
      <alignment horizontal="center" vertical="top" wrapText="1"/>
    </xf>
    <xf numFmtId="0" fontId="6" fillId="0" borderId="54" xfId="0" applyFont="1" applyBorder="1" applyAlignment="1">
      <alignment horizontal="left" vertical="top" wrapText="1" indent="1"/>
    </xf>
    <xf numFmtId="0" fontId="6" fillId="0" borderId="55" xfId="0" applyFont="1" applyBorder="1" applyAlignment="1">
      <alignment horizontal="left" vertical="top" wrapText="1" indent="1"/>
    </xf>
    <xf numFmtId="0" fontId="6" fillId="0" borderId="50" xfId="0" applyFont="1" applyBorder="1" applyAlignment="1">
      <alignment horizontal="left" vertical="top" wrapText="1" indent="1"/>
    </xf>
    <xf numFmtId="0" fontId="2" fillId="0" borderId="9" xfId="0" applyFont="1" applyBorder="1" applyAlignment="1">
      <alignment horizontal="left" wrapText="1" indent="1"/>
    </xf>
    <xf numFmtId="0" fontId="2" fillId="0" borderId="10" xfId="0" applyFont="1" applyBorder="1" applyAlignment="1">
      <alignment horizontal="left" wrapText="1" indent="1"/>
    </xf>
    <xf numFmtId="0" fontId="2" fillId="0" borderId="11" xfId="0" applyFont="1" applyBorder="1" applyAlignment="1">
      <alignment horizontal="left" wrapText="1" indent="1"/>
    </xf>
    <xf numFmtId="0" fontId="1" fillId="27" borderId="9" xfId="0" applyFont="1" applyFill="1" applyBorder="1" applyAlignment="1" applyProtection="1">
      <alignment horizontal="center" vertical="center" wrapText="1"/>
      <protection locked="0"/>
    </xf>
    <xf numFmtId="0" fontId="1" fillId="27" borderId="11" xfId="0" applyFont="1" applyFill="1" applyBorder="1" applyAlignment="1" applyProtection="1">
      <alignment horizontal="center" vertical="center" wrapText="1"/>
      <protection locked="0"/>
    </xf>
    <xf numFmtId="0" fontId="45" fillId="0" borderId="4" xfId="0" applyFont="1" applyBorder="1" applyAlignment="1">
      <alignment horizontal="left" wrapText="1" indent="2"/>
    </xf>
    <xf numFmtId="0" fontId="25" fillId="0" borderId="5" xfId="0" applyFont="1" applyBorder="1" applyAlignment="1">
      <alignment horizontal="left" wrapText="1" indent="2"/>
    </xf>
    <xf numFmtId="0" fontId="25" fillId="0" borderId="6" xfId="0" applyFont="1" applyBorder="1" applyAlignment="1">
      <alignment horizontal="left" wrapText="1" indent="2"/>
    </xf>
    <xf numFmtId="0" fontId="25" fillId="0" borderId="4" xfId="0" applyFont="1" applyBorder="1" applyAlignment="1">
      <alignment horizontal="left" wrapText="1" indent="2"/>
    </xf>
    <xf numFmtId="0" fontId="25" fillId="0" borderId="7" xfId="0" applyFont="1" applyBorder="1" applyAlignment="1">
      <alignment horizontal="left" wrapText="1" indent="2"/>
    </xf>
    <xf numFmtId="0" fontId="25" fillId="0" borderId="0" xfId="0" applyFont="1" applyAlignment="1">
      <alignment horizontal="left" wrapText="1" indent="2"/>
    </xf>
    <xf numFmtId="0" fontId="25" fillId="0" borderId="8" xfId="0" applyFont="1" applyBorder="1" applyAlignment="1">
      <alignment horizontal="left" wrapText="1" indent="2"/>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9" xfId="0" applyFont="1" applyBorder="1" applyAlignment="1">
      <alignment horizontal="left" wrapText="1"/>
    </xf>
    <xf numFmtId="0" fontId="6" fillId="0" borderId="11" xfId="0" applyFont="1" applyBorder="1" applyAlignment="1">
      <alignment horizontal="left" wrapText="1"/>
    </xf>
    <xf numFmtId="0" fontId="1" fillId="27" borderId="56" xfId="0" applyFont="1" applyFill="1" applyBorder="1" applyAlignment="1" applyProtection="1">
      <alignment horizontal="center" vertical="center" wrapText="1"/>
      <protection locked="0"/>
    </xf>
    <xf numFmtId="0" fontId="1" fillId="27" borderId="57" xfId="0" applyFont="1" applyFill="1" applyBorder="1" applyAlignment="1" applyProtection="1">
      <alignment horizontal="center" vertical="center" wrapText="1"/>
      <protection locked="0"/>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 fillId="0" borderId="44" xfId="0" applyFont="1" applyBorder="1" applyAlignment="1">
      <alignment horizontal="left" vertical="top" wrapText="1"/>
    </xf>
    <xf numFmtId="0" fontId="1" fillId="0" borderId="42" xfId="0" applyFont="1" applyBorder="1" applyAlignment="1">
      <alignment horizontal="left" vertical="top" wrapText="1"/>
    </xf>
    <xf numFmtId="0" fontId="6" fillId="0" borderId="44" xfId="0" applyFont="1" applyBorder="1" applyAlignment="1">
      <alignment horizontal="left" vertical="top" wrapText="1"/>
    </xf>
    <xf numFmtId="0" fontId="6" fillId="0" borderId="42" xfId="0" applyFont="1" applyBorder="1" applyAlignment="1">
      <alignment horizontal="left" vertical="top" wrapText="1"/>
    </xf>
    <xf numFmtId="0" fontId="1" fillId="27" borderId="16" xfId="0" applyFont="1" applyFill="1" applyBorder="1" applyAlignment="1" applyProtection="1">
      <alignment horizontal="left" vertical="top" wrapText="1"/>
      <protection locked="0"/>
    </xf>
    <xf numFmtId="0" fontId="1" fillId="27" borderId="17" xfId="0" applyFont="1" applyFill="1" applyBorder="1" applyAlignment="1" applyProtection="1">
      <alignment horizontal="left" vertical="top" wrapText="1"/>
      <protection locked="0"/>
    </xf>
    <xf numFmtId="0" fontId="1" fillId="27" borderId="38" xfId="0" applyFont="1" applyFill="1" applyBorder="1" applyAlignment="1" applyProtection="1">
      <alignment horizontal="left" vertical="top" wrapText="1"/>
      <protection locked="0"/>
    </xf>
    <xf numFmtId="0" fontId="24" fillId="0" borderId="7" xfId="0" applyFont="1" applyBorder="1" applyAlignment="1">
      <alignment horizontal="left" vertical="center" wrapText="1"/>
    </xf>
    <xf numFmtId="0" fontId="24" fillId="0" borderId="0" xfId="0" applyFont="1" applyAlignment="1">
      <alignment horizontal="left" vertical="center" wrapText="1"/>
    </xf>
    <xf numFmtId="0" fontId="24" fillId="0" borderId="8" xfId="0" applyFont="1" applyBorder="1" applyAlignment="1">
      <alignment horizontal="left" vertical="center" wrapText="1"/>
    </xf>
    <xf numFmtId="164" fontId="1" fillId="27" borderId="44" xfId="0" applyNumberFormat="1" applyFont="1" applyFill="1" applyBorder="1" applyAlignment="1" applyProtection="1">
      <alignment horizontal="center" vertical="top" wrapText="1"/>
      <protection locked="0"/>
    </xf>
    <xf numFmtId="164" fontId="1" fillId="27" borderId="42" xfId="0" applyNumberFormat="1" applyFont="1" applyFill="1" applyBorder="1" applyAlignment="1" applyProtection="1">
      <alignment horizontal="center" vertical="top" wrapText="1"/>
      <protection locked="0"/>
    </xf>
    <xf numFmtId="0" fontId="1" fillId="27" borderId="1" xfId="0" applyFont="1" applyFill="1" applyBorder="1" applyAlignment="1" applyProtection="1">
      <alignment horizontal="center" vertical="center"/>
      <protection locked="0"/>
    </xf>
    <xf numFmtId="0" fontId="1" fillId="27" borderId="3" xfId="0" applyFont="1" applyFill="1" applyBorder="1" applyAlignment="1" applyProtection="1">
      <alignment horizontal="center" vertical="center"/>
      <protection locked="0"/>
    </xf>
    <xf numFmtId="0" fontId="1" fillId="27" borderId="7" xfId="0" applyFont="1" applyFill="1" applyBorder="1" applyAlignment="1" applyProtection="1">
      <alignment horizontal="center" vertical="center"/>
      <protection locked="0"/>
    </xf>
    <xf numFmtId="0" fontId="1" fillId="27" borderId="8" xfId="0" applyFont="1" applyFill="1" applyBorder="1" applyAlignment="1" applyProtection="1">
      <alignment horizontal="center" vertical="center"/>
      <protection locked="0"/>
    </xf>
    <xf numFmtId="0" fontId="6" fillId="0" borderId="15" xfId="0" applyFont="1" applyBorder="1" applyAlignment="1">
      <alignment horizontal="center" vertical="top" wrapText="1"/>
    </xf>
    <xf numFmtId="0" fontId="6" fillId="0" borderId="13" xfId="0" applyFont="1" applyBorder="1" applyAlignment="1">
      <alignment horizontal="center" vertical="top" wrapText="1"/>
    </xf>
    <xf numFmtId="0" fontId="6" fillId="0" borderId="1" xfId="0" applyFont="1" applyBorder="1" applyAlignment="1">
      <alignment horizontal="left" wrapText="1" indent="1"/>
    </xf>
    <xf numFmtId="0" fontId="6" fillId="0" borderId="2" xfId="0" applyFont="1" applyBorder="1" applyAlignment="1">
      <alignment horizontal="left" wrapText="1" indent="1"/>
    </xf>
    <xf numFmtId="0" fontId="6" fillId="0" borderId="3" xfId="0" applyFont="1" applyBorder="1" applyAlignment="1">
      <alignment horizontal="left"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4" fillId="0" borderId="64" xfId="0" applyFont="1" applyBorder="1" applyAlignment="1">
      <alignment horizontal="center" vertical="top" wrapText="1"/>
    </xf>
    <xf numFmtId="0" fontId="24" fillId="0" borderId="63" xfId="0" applyFont="1" applyBorder="1" applyAlignment="1">
      <alignment horizontal="center" vertical="top"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15" xfId="2" applyFont="1" applyBorder="1" applyAlignment="1">
      <alignment horizontal="center" vertical="top" wrapText="1"/>
    </xf>
    <xf numFmtId="0" fontId="24" fillId="0" borderId="96" xfId="2" applyFont="1" applyBorder="1" applyAlignment="1">
      <alignment horizontal="center" vertical="top" wrapText="1"/>
    </xf>
    <xf numFmtId="0" fontId="24" fillId="0" borderId="1" xfId="2" applyFont="1" applyBorder="1" applyAlignment="1">
      <alignment horizontal="center" vertical="top" wrapText="1"/>
    </xf>
    <xf numFmtId="0" fontId="24" fillId="0" borderId="3" xfId="2" applyFont="1" applyBorder="1" applyAlignment="1">
      <alignment horizontal="center" vertical="top" wrapText="1"/>
    </xf>
    <xf numFmtId="0" fontId="24" fillId="0" borderId="35" xfId="2" applyFont="1" applyBorder="1" applyAlignment="1">
      <alignment horizontal="center" vertical="top" wrapText="1"/>
    </xf>
    <xf numFmtId="0" fontId="24" fillId="0" borderId="36" xfId="2" applyFont="1" applyBorder="1" applyAlignment="1">
      <alignment horizontal="center" vertical="top" wrapText="1"/>
    </xf>
    <xf numFmtId="0" fontId="0" fillId="0" borderId="35" xfId="0" applyBorder="1" applyAlignment="1">
      <alignment horizontal="center" wrapText="1"/>
    </xf>
    <xf numFmtId="0" fontId="0" fillId="0" borderId="36" xfId="0" applyBorder="1" applyAlignment="1">
      <alignment horizontal="center" wrapText="1"/>
    </xf>
    <xf numFmtId="0" fontId="1" fillId="0" borderId="4" xfId="0" applyFont="1" applyBorder="1" applyAlignment="1">
      <alignment horizontal="left" wrapText="1" indent="2"/>
    </xf>
    <xf numFmtId="0" fontId="1" fillId="0" borderId="5" xfId="0" applyFont="1" applyBorder="1" applyAlignment="1">
      <alignment horizontal="left" wrapText="1" indent="2"/>
    </xf>
    <xf numFmtId="0" fontId="1" fillId="0" borderId="6" xfId="0" applyFont="1" applyBorder="1" applyAlignment="1">
      <alignment horizontal="left" wrapText="1" indent="2"/>
    </xf>
    <xf numFmtId="0" fontId="1" fillId="0" borderId="1" xfId="0" applyFont="1" applyBorder="1" applyAlignment="1">
      <alignment horizontal="left" vertical="center" wrapText="1" indent="2"/>
    </xf>
    <xf numFmtId="0" fontId="1" fillId="0" borderId="2" xfId="0" applyFont="1" applyBorder="1" applyAlignment="1">
      <alignment horizontal="left" vertical="center" wrapText="1" indent="2"/>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1" fillId="0" borderId="5" xfId="0" applyFont="1" applyBorder="1" applyAlignment="1">
      <alignment horizontal="left" vertical="center" wrapText="1" indent="2"/>
    </xf>
    <xf numFmtId="0" fontId="1" fillId="0" borderId="6" xfId="0" applyFont="1" applyBorder="1" applyAlignment="1">
      <alignment horizontal="left" vertical="center" wrapText="1" indent="2"/>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1" fillId="0" borderId="8"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6" fillId="0" borderId="7" xfId="0" applyFont="1" applyBorder="1" applyAlignment="1">
      <alignment horizontal="left" wrapText="1" indent="3"/>
    </xf>
    <xf numFmtId="0" fontId="6" fillId="0" borderId="0" xfId="0" applyFont="1" applyAlignment="1">
      <alignment horizontal="left" wrapText="1" indent="3"/>
    </xf>
    <xf numFmtId="0" fontId="1" fillId="0" borderId="7" xfId="0" applyFont="1" applyBorder="1" applyAlignment="1">
      <alignment horizontal="left" wrapText="1" indent="5"/>
    </xf>
    <xf numFmtId="0" fontId="1" fillId="0" borderId="0" xfId="0" applyFont="1" applyAlignment="1">
      <alignment horizontal="left" wrapText="1" indent="5"/>
    </xf>
    <xf numFmtId="0" fontId="1" fillId="0" borderId="8" xfId="0" applyFont="1" applyBorder="1" applyAlignment="1">
      <alignment horizontal="left" wrapText="1" indent="5"/>
    </xf>
    <xf numFmtId="0" fontId="1" fillId="0" borderId="4" xfId="0" applyFont="1" applyBorder="1" applyAlignment="1">
      <alignment horizontal="left" wrapText="1" indent="5"/>
    </xf>
    <xf numFmtId="0" fontId="1" fillId="0" borderId="5" xfId="0" applyFont="1" applyBorder="1" applyAlignment="1">
      <alignment horizontal="left" wrapText="1" indent="5"/>
    </xf>
    <xf numFmtId="0" fontId="1" fillId="0" borderId="6" xfId="0" applyFont="1" applyBorder="1" applyAlignment="1">
      <alignment horizontal="left" wrapText="1" indent="5"/>
    </xf>
    <xf numFmtId="0" fontId="5" fillId="0" borderId="1" xfId="0" applyFont="1" applyBorder="1" applyAlignment="1">
      <alignment horizontal="left" wrapText="1" indent="1"/>
    </xf>
    <xf numFmtId="0" fontId="5" fillId="0" borderId="2" xfId="0" applyFont="1" applyBorder="1" applyAlignment="1">
      <alignment horizontal="left" wrapText="1" indent="1"/>
    </xf>
    <xf numFmtId="0" fontId="1" fillId="27" borderId="42" xfId="0" applyFont="1" applyFill="1" applyBorder="1" applyAlignment="1" applyProtection="1">
      <alignment horizontal="left" vertical="top" wrapText="1"/>
      <protection locked="0"/>
    </xf>
    <xf numFmtId="44" fontId="1" fillId="27" borderId="42" xfId="0" applyNumberFormat="1" applyFont="1" applyFill="1" applyBorder="1" applyAlignment="1" applyProtection="1">
      <alignment horizontal="center" vertical="top" wrapText="1"/>
      <protection locked="0"/>
    </xf>
    <xf numFmtId="0" fontId="1" fillId="0" borderId="4" xfId="0" applyFont="1" applyBorder="1" applyAlignment="1">
      <alignment horizontal="left" wrapText="1" indent="3"/>
    </xf>
    <xf numFmtId="0" fontId="1" fillId="0" borderId="5" xfId="0" applyFont="1" applyBorder="1" applyAlignment="1">
      <alignment horizontal="left" wrapText="1" indent="3"/>
    </xf>
    <xf numFmtId="0" fontId="1" fillId="0" borderId="6" xfId="0" applyFont="1" applyBorder="1" applyAlignment="1">
      <alignment horizontal="left" wrapText="1" indent="3"/>
    </xf>
    <xf numFmtId="0" fontId="5" fillId="0" borderId="1" xfId="0" applyFont="1" applyBorder="1" applyAlignment="1">
      <alignment horizontal="left" wrapText="1"/>
    </xf>
    <xf numFmtId="0" fontId="5" fillId="0" borderId="2" xfId="0" applyFont="1" applyBorder="1" applyAlignment="1">
      <alignment horizontal="left" wrapText="1"/>
    </xf>
    <xf numFmtId="0" fontId="4" fillId="0" borderId="7" xfId="0" applyFont="1" applyBorder="1" applyAlignment="1">
      <alignment horizontal="left" vertical="top" wrapText="1" indent="2"/>
    </xf>
    <xf numFmtId="0" fontId="4" fillId="0" borderId="0" xfId="0" applyFont="1" applyAlignment="1">
      <alignment horizontal="left" vertical="top" wrapText="1" indent="2"/>
    </xf>
    <xf numFmtId="0" fontId="4" fillId="0" borderId="8" xfId="0" applyFont="1" applyBorder="1" applyAlignment="1">
      <alignment horizontal="left" vertical="top" wrapText="1" indent="2"/>
    </xf>
    <xf numFmtId="0" fontId="4" fillId="0" borderId="4" xfId="0" applyFont="1" applyBorder="1" applyAlignment="1">
      <alignment horizontal="left" vertical="top" wrapText="1" indent="2"/>
    </xf>
    <xf numFmtId="0" fontId="4" fillId="0" borderId="5" xfId="0" applyFont="1" applyBorder="1" applyAlignment="1">
      <alignment horizontal="left" vertical="top" wrapText="1" indent="2"/>
    </xf>
    <xf numFmtId="0" fontId="4" fillId="0" borderId="6" xfId="0" applyFont="1" applyBorder="1" applyAlignment="1">
      <alignment horizontal="left" vertical="top" wrapText="1" indent="2"/>
    </xf>
    <xf numFmtId="0" fontId="1" fillId="0" borderId="7" xfId="0" applyFont="1" applyBorder="1" applyAlignment="1">
      <alignment horizontal="left" vertical="center" wrapText="1" indent="2"/>
    </xf>
    <xf numFmtId="0" fontId="1" fillId="0" borderId="0" xfId="0" applyFont="1" applyAlignment="1">
      <alignment horizontal="left" vertical="center" wrapText="1" indent="2"/>
    </xf>
    <xf numFmtId="0" fontId="1" fillId="0" borderId="8" xfId="0" applyFont="1" applyBorder="1" applyAlignment="1">
      <alignment horizontal="left" vertical="center" wrapText="1" indent="2"/>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1" fillId="0" borderId="7" xfId="0" applyFont="1" applyBorder="1" applyAlignment="1">
      <alignment horizontal="left" wrapText="1" indent="1"/>
    </xf>
    <xf numFmtId="0" fontId="1" fillId="0" borderId="0" xfId="0" applyFont="1" applyAlignment="1">
      <alignment horizontal="left" wrapText="1" indent="1"/>
    </xf>
    <xf numFmtId="0" fontId="1" fillId="0" borderId="8" xfId="0" applyFont="1" applyBorder="1" applyAlignment="1">
      <alignment horizontal="left" wrapText="1" indent="1"/>
    </xf>
    <xf numFmtId="0" fontId="6" fillId="0" borderId="66" xfId="0" applyFont="1" applyBorder="1" applyAlignment="1">
      <alignment horizontal="left" vertical="top" wrapText="1"/>
    </xf>
    <xf numFmtId="0" fontId="6" fillId="0" borderId="65" xfId="0" applyFont="1" applyBorder="1" applyAlignment="1">
      <alignment horizontal="left" vertical="top" wrapText="1"/>
    </xf>
    <xf numFmtId="0" fontId="6" fillId="0" borderId="63" xfId="0" applyFont="1" applyBorder="1" applyAlignment="1">
      <alignment horizontal="left"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38" xfId="0" applyFont="1" applyBorder="1" applyAlignment="1">
      <alignment horizontal="center" vertical="top" wrapText="1"/>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6" fillId="0" borderId="64" xfId="0" applyFont="1" applyBorder="1" applyAlignment="1">
      <alignment horizontal="center" vertical="top" wrapText="1"/>
    </xf>
    <xf numFmtId="0" fontId="6" fillId="0" borderId="63" xfId="0" applyFont="1" applyBorder="1" applyAlignment="1">
      <alignment horizontal="center" vertical="top" wrapText="1"/>
    </xf>
    <xf numFmtId="0" fontId="6" fillId="0" borderId="37" xfId="0" applyFont="1" applyBorder="1" applyAlignment="1">
      <alignment horizontal="center" vertical="top" wrapText="1"/>
    </xf>
    <xf numFmtId="44" fontId="4" fillId="0" borderId="37" xfId="0" applyNumberFormat="1" applyFont="1" applyBorder="1" applyAlignment="1">
      <alignment horizontal="center" vertical="top" wrapText="1"/>
    </xf>
    <xf numFmtId="44" fontId="4" fillId="0" borderId="38" xfId="0" applyNumberFormat="1" applyFont="1" applyBorder="1" applyAlignment="1">
      <alignment horizontal="center" vertical="top" wrapText="1"/>
    </xf>
    <xf numFmtId="164" fontId="4" fillId="27" borderId="37" xfId="0" applyNumberFormat="1" applyFont="1" applyFill="1" applyBorder="1" applyAlignment="1" applyProtection="1">
      <alignment horizontal="center" vertical="top" wrapText="1"/>
      <protection locked="0"/>
    </xf>
    <xf numFmtId="164" fontId="4" fillId="27" borderId="38" xfId="0" applyNumberFormat="1" applyFont="1" applyFill="1" applyBorder="1" applyAlignment="1" applyProtection="1">
      <alignment horizontal="center" vertical="top" wrapText="1"/>
      <protection locked="0"/>
    </xf>
    <xf numFmtId="0" fontId="25" fillId="0" borderId="7" xfId="0" applyFont="1" applyBorder="1" applyAlignment="1">
      <alignment horizontal="center" wrapText="1"/>
    </xf>
    <xf numFmtId="0" fontId="25" fillId="0" borderId="8" xfId="0" applyFont="1" applyBorder="1" applyAlignment="1">
      <alignment horizontal="center" wrapText="1"/>
    </xf>
    <xf numFmtId="44" fontId="4" fillId="27" borderId="37" xfId="0" applyNumberFormat="1" applyFont="1" applyFill="1" applyBorder="1" applyAlignment="1" applyProtection="1">
      <alignment horizontal="center" vertical="top" wrapText="1"/>
      <protection locked="0"/>
    </xf>
    <xf numFmtId="44" fontId="4" fillId="27" borderId="38" xfId="0" applyNumberFormat="1" applyFont="1" applyFill="1" applyBorder="1" applyAlignment="1" applyProtection="1">
      <alignment horizontal="center" vertical="top" wrapText="1"/>
      <protection locked="0"/>
    </xf>
    <xf numFmtId="164" fontId="4" fillId="27" borderId="54" xfId="0" applyNumberFormat="1" applyFont="1" applyFill="1" applyBorder="1" applyAlignment="1" applyProtection="1">
      <alignment horizontal="center" vertical="top" wrapText="1"/>
      <protection locked="0"/>
    </xf>
    <xf numFmtId="164" fontId="4" fillId="27" borderId="39" xfId="0" applyNumberFormat="1" applyFont="1" applyFill="1" applyBorder="1" applyAlignment="1" applyProtection="1">
      <alignment horizontal="center" vertical="top" wrapText="1"/>
      <protection locked="0"/>
    </xf>
    <xf numFmtId="0" fontId="1" fillId="27" borderId="9" xfId="0" applyFont="1" applyFill="1" applyBorder="1" applyAlignment="1" applyProtection="1">
      <alignment horizontal="left" wrapText="1"/>
      <protection locked="0"/>
    </xf>
    <xf numFmtId="0" fontId="1" fillId="27" borderId="10" xfId="0" applyFont="1" applyFill="1" applyBorder="1" applyAlignment="1" applyProtection="1">
      <alignment horizontal="left" wrapText="1"/>
      <protection locked="0"/>
    </xf>
    <xf numFmtId="0" fontId="1" fillId="27" borderId="67" xfId="0" applyFont="1" applyFill="1" applyBorder="1" applyAlignment="1" applyProtection="1">
      <alignment horizontal="left" wrapText="1"/>
      <protection locked="0"/>
    </xf>
    <xf numFmtId="0" fontId="1" fillId="27" borderId="11" xfId="0" applyFont="1" applyFill="1" applyBorder="1" applyAlignment="1" applyProtection="1">
      <alignment horizontal="left" wrapText="1"/>
      <protection locked="0"/>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44" fontId="1" fillId="27" borderId="9" xfId="0" applyNumberFormat="1" applyFont="1" applyFill="1" applyBorder="1" applyAlignment="1" applyProtection="1">
      <alignment horizontal="center" wrapText="1"/>
      <protection locked="0"/>
    </xf>
    <xf numFmtId="44" fontId="1" fillId="27" borderId="11" xfId="0" applyNumberFormat="1" applyFont="1" applyFill="1" applyBorder="1" applyAlignment="1" applyProtection="1">
      <alignment horizontal="center" wrapText="1"/>
      <protection locked="0"/>
    </xf>
    <xf numFmtId="0" fontId="6" fillId="0" borderId="30" xfId="0" applyFont="1" applyBorder="1" applyAlignment="1">
      <alignment horizontal="center" vertical="top" wrapText="1"/>
    </xf>
    <xf numFmtId="0" fontId="6" fillId="0" borderId="32" xfId="0" applyFont="1" applyBorder="1" applyAlignment="1">
      <alignment horizontal="center" vertical="top"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4" xfId="0" applyFont="1" applyBorder="1" applyAlignment="1">
      <alignment horizontal="left" wrapText="1"/>
    </xf>
    <xf numFmtId="164" fontId="1" fillId="27" borderId="9" xfId="0" applyNumberFormat="1" applyFont="1" applyFill="1" applyBorder="1" applyAlignment="1" applyProtection="1">
      <alignment horizontal="center" wrapText="1"/>
      <protection locked="0"/>
    </xf>
    <xf numFmtId="164" fontId="1" fillId="27" borderId="11" xfId="0" applyNumberFormat="1" applyFont="1" applyFill="1" applyBorder="1" applyAlignment="1" applyProtection="1">
      <alignment horizontal="center" wrapText="1"/>
      <protection locked="0"/>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indent="5"/>
    </xf>
    <xf numFmtId="0" fontId="1" fillId="0" borderId="0" xfId="0" applyFont="1" applyAlignment="1">
      <alignment horizontal="left" vertical="top" wrapText="1" indent="5"/>
    </xf>
    <xf numFmtId="0" fontId="1" fillId="0" borderId="8" xfId="0" applyFont="1" applyBorder="1" applyAlignment="1">
      <alignment horizontal="left" vertical="top" wrapText="1" indent="5"/>
    </xf>
    <xf numFmtId="0" fontId="1" fillId="0" borderId="37" xfId="0" applyFont="1" applyBorder="1" applyAlignment="1">
      <alignment horizontal="left" wrapText="1" indent="1"/>
    </xf>
    <xf numFmtId="0" fontId="1" fillId="0" borderId="17" xfId="0" applyFont="1" applyBorder="1" applyAlignment="1">
      <alignment horizontal="left" wrapText="1" indent="1"/>
    </xf>
    <xf numFmtId="0" fontId="1" fillId="0" borderId="38" xfId="0" applyFont="1" applyBorder="1" applyAlignment="1">
      <alignment horizontal="left" wrapText="1" inden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44" fontId="4" fillId="27" borderId="54" xfId="0" applyNumberFormat="1" applyFont="1" applyFill="1" applyBorder="1" applyAlignment="1" applyProtection="1">
      <alignment horizontal="center" vertical="top" wrapText="1"/>
      <protection locked="0"/>
    </xf>
    <xf numFmtId="44" fontId="4" fillId="27" borderId="39" xfId="0" applyNumberFormat="1" applyFont="1" applyFill="1" applyBorder="1" applyAlignment="1" applyProtection="1">
      <alignment horizontal="center" vertical="top" wrapText="1"/>
      <protection locked="0"/>
    </xf>
    <xf numFmtId="0" fontId="16" fillId="0" borderId="3" xfId="0" applyFont="1" applyBorder="1"/>
    <xf numFmtId="0" fontId="16" fillId="0" borderId="7" xfId="0" applyFont="1" applyBorder="1"/>
    <xf numFmtId="0" fontId="16" fillId="0" borderId="8" xfId="0" applyFont="1" applyBorder="1"/>
    <xf numFmtId="0" fontId="16" fillId="0" borderId="4" xfId="0" applyFont="1" applyBorder="1"/>
    <xf numFmtId="0" fontId="16" fillId="0" borderId="6" xfId="0" applyFont="1" applyBorder="1"/>
    <xf numFmtId="0" fontId="1" fillId="0" borderId="54" xfId="0" applyFont="1" applyBorder="1" applyAlignment="1">
      <alignment horizontal="center" vertical="center" wrapText="1"/>
    </xf>
    <xf numFmtId="0" fontId="1" fillId="0" borderId="39" xfId="0" applyFont="1" applyBorder="1" applyAlignment="1">
      <alignment horizontal="center" vertical="center" wrapText="1"/>
    </xf>
    <xf numFmtId="0" fontId="1" fillId="27" borderId="37" xfId="0" applyFont="1" applyFill="1" applyBorder="1" applyAlignment="1" applyProtection="1">
      <alignment horizontal="center" vertical="center" wrapText="1"/>
      <protection locked="0"/>
    </xf>
    <xf numFmtId="0" fontId="1" fillId="0" borderId="30" xfId="0" applyFont="1" applyBorder="1" applyAlignment="1">
      <alignment horizontal="left" vertical="top" wrapText="1" indent="1"/>
    </xf>
    <xf numFmtId="0" fontId="1" fillId="0" borderId="31" xfId="0" applyFont="1" applyBorder="1" applyAlignment="1">
      <alignment horizontal="left" vertical="top" wrapText="1" indent="1"/>
    </xf>
    <xf numFmtId="0" fontId="1" fillId="0" borderId="32" xfId="0" applyFont="1" applyBorder="1" applyAlignment="1">
      <alignment horizontal="left" vertical="top" wrapText="1" indent="1"/>
    </xf>
    <xf numFmtId="44" fontId="13" fillId="0" borderId="39" xfId="0" applyNumberFormat="1" applyFont="1" applyBorder="1"/>
    <xf numFmtId="44" fontId="6" fillId="0" borderId="50" xfId="0" applyNumberFormat="1" applyFont="1" applyBorder="1" applyAlignment="1">
      <alignment horizontal="right"/>
    </xf>
    <xf numFmtId="44" fontId="13" fillId="0" borderId="51" xfId="0" applyNumberFormat="1" applyFont="1" applyBorder="1"/>
    <xf numFmtId="44" fontId="0" fillId="27" borderId="38" xfId="0" applyNumberFormat="1" applyFill="1" applyBorder="1" applyProtection="1">
      <protection locked="0"/>
    </xf>
    <xf numFmtId="0" fontId="6" fillId="0" borderId="60" xfId="0" applyFont="1" applyBorder="1" applyAlignment="1">
      <alignment horizontal="center"/>
    </xf>
    <xf numFmtId="0" fontId="6" fillId="0" borderId="62" xfId="0" applyFont="1" applyBorder="1" applyAlignment="1">
      <alignment horizontal="center"/>
    </xf>
    <xf numFmtId="0" fontId="12" fillId="0" borderId="42" xfId="0" applyFont="1" applyBorder="1" applyAlignment="1">
      <alignment horizontal="center"/>
    </xf>
    <xf numFmtId="0" fontId="12" fillId="0" borderId="48" xfId="0" applyFont="1" applyBorder="1" applyAlignment="1">
      <alignment horizontal="center"/>
    </xf>
    <xf numFmtId="0" fontId="12" fillId="0" borderId="16" xfId="0" applyFont="1" applyBorder="1" applyAlignment="1">
      <alignment horizontal="center"/>
    </xf>
    <xf numFmtId="44" fontId="0" fillId="27" borderId="48" xfId="0" applyNumberFormat="1" applyFill="1" applyBorder="1" applyProtection="1">
      <protection locked="0"/>
    </xf>
    <xf numFmtId="44" fontId="0" fillId="27" borderId="17" xfId="0" applyNumberFormat="1" applyFill="1" applyBorder="1" applyProtection="1">
      <protection locked="0"/>
    </xf>
    <xf numFmtId="0" fontId="6" fillId="0" borderId="58" xfId="0" applyFont="1" applyBorder="1" applyAlignment="1">
      <alignment horizontal="center"/>
    </xf>
    <xf numFmtId="0" fontId="6" fillId="0" borderId="23" xfId="0" applyFont="1" applyBorder="1" applyAlignment="1">
      <alignment horizontal="center"/>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166" fontId="1" fillId="0" borderId="61" xfId="0" applyNumberFormat="1" applyFont="1" applyBorder="1" applyAlignment="1" applyProtection="1">
      <alignment horizontal="center" vertical="center" wrapText="1"/>
      <protection locked="0"/>
    </xf>
    <xf numFmtId="166" fontId="1" fillId="0" borderId="62" xfId="0" applyNumberFormat="1" applyFont="1" applyBorder="1" applyAlignment="1" applyProtection="1">
      <alignment horizontal="center" vertical="center" wrapText="1"/>
      <protection locked="0"/>
    </xf>
    <xf numFmtId="0" fontId="1" fillId="0" borderId="60" xfId="0" applyFont="1" applyBorder="1" applyAlignment="1">
      <alignment horizontal="right" vertical="center" wrapText="1"/>
    </xf>
    <xf numFmtId="0" fontId="1" fillId="0" borderId="61" xfId="0" applyFont="1" applyBorder="1" applyAlignment="1">
      <alignment horizontal="right" vertical="center" wrapText="1"/>
    </xf>
    <xf numFmtId="0" fontId="1" fillId="0" borderId="49" xfId="0" applyFont="1" applyBorder="1" applyAlignment="1">
      <alignment horizontal="right" vertical="top" wrapText="1"/>
    </xf>
    <xf numFmtId="0" fontId="1" fillId="0" borderId="43" xfId="0" applyFont="1" applyBorder="1" applyAlignment="1">
      <alignment horizontal="right" vertical="top" wrapText="1"/>
    </xf>
    <xf numFmtId="44" fontId="1" fillId="27" borderId="43" xfId="0" applyNumberFormat="1" applyFont="1" applyFill="1" applyBorder="1" applyAlignment="1" applyProtection="1">
      <alignment horizontal="center" vertical="center" wrapText="1"/>
      <protection locked="0"/>
    </xf>
    <xf numFmtId="44" fontId="1" fillId="27" borderId="51" xfId="0" applyNumberFormat="1" applyFont="1" applyFill="1" applyBorder="1" applyAlignment="1" applyProtection="1">
      <alignment horizontal="center" vertical="center" wrapText="1"/>
      <protection locked="0"/>
    </xf>
    <xf numFmtId="44" fontId="1" fillId="0" borderId="30" xfId="0" applyNumberFormat="1" applyFont="1" applyBorder="1" applyAlignment="1">
      <alignment horizontal="center" vertical="top" wrapText="1"/>
    </xf>
    <xf numFmtId="44" fontId="1" fillId="0" borderId="32" xfId="0" applyNumberFormat="1" applyFont="1" applyBorder="1" applyAlignment="1">
      <alignment horizontal="center" vertical="top" wrapText="1"/>
    </xf>
    <xf numFmtId="0" fontId="25" fillId="0" borderId="7" xfId="0" applyFont="1" applyBorder="1" applyAlignment="1">
      <alignment horizontal="center"/>
    </xf>
    <xf numFmtId="0" fontId="25" fillId="0" borderId="0" xfId="0" applyFont="1" applyAlignment="1">
      <alignment horizontal="center"/>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6" fillId="0" borderId="46" xfId="0" applyFont="1" applyBorder="1" applyAlignment="1">
      <alignment horizontal="left" vertical="top" wrapText="1"/>
    </xf>
    <xf numFmtId="0" fontId="6" fillId="0" borderId="58" xfId="0" applyFont="1" applyBorder="1" applyAlignment="1">
      <alignment horizontal="left" vertical="top" wrapText="1"/>
    </xf>
    <xf numFmtId="0" fontId="6" fillId="0" borderId="41" xfId="0" applyFont="1" applyBorder="1" applyAlignment="1">
      <alignment horizontal="left" vertical="top" wrapText="1"/>
    </xf>
    <xf numFmtId="0" fontId="6" fillId="0" borderId="47"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44" fontId="1" fillId="27" borderId="30" xfId="0" applyNumberFormat="1" applyFont="1" applyFill="1" applyBorder="1" applyAlignment="1" applyProtection="1">
      <alignment horizontal="center" vertical="top" wrapText="1"/>
      <protection locked="0"/>
    </xf>
    <xf numFmtId="44" fontId="1" fillId="27" borderId="32" xfId="0" applyNumberFormat="1" applyFont="1" applyFill="1" applyBorder="1" applyAlignment="1" applyProtection="1">
      <alignment horizontal="center" vertical="top" wrapText="1"/>
      <protection locked="0"/>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5" fillId="27" borderId="54" xfId="0" applyFont="1" applyFill="1" applyBorder="1" applyAlignment="1" applyProtection="1">
      <alignment horizontal="left"/>
      <protection locked="0"/>
    </xf>
    <xf numFmtId="0" fontId="25" fillId="27" borderId="55" xfId="0" applyFont="1" applyFill="1" applyBorder="1" applyAlignment="1" applyProtection="1">
      <alignment horizontal="left"/>
      <protection locked="0"/>
    </xf>
    <xf numFmtId="0" fontId="25" fillId="27" borderId="45" xfId="0" applyFont="1" applyFill="1" applyBorder="1" applyAlignment="1" applyProtection="1">
      <alignment horizontal="left"/>
      <protection locked="0"/>
    </xf>
    <xf numFmtId="0" fontId="25" fillId="27" borderId="39" xfId="0" applyFont="1" applyFill="1" applyBorder="1" applyAlignment="1" applyProtection="1">
      <alignment horizontal="left"/>
      <protection locked="0"/>
    </xf>
    <xf numFmtId="164" fontId="25" fillId="27" borderId="54" xfId="0" applyNumberFormat="1" applyFont="1" applyFill="1" applyBorder="1" applyAlignment="1" applyProtection="1">
      <alignment horizontal="center"/>
      <protection locked="0"/>
    </xf>
    <xf numFmtId="164" fontId="25" fillId="27" borderId="39" xfId="0" applyNumberFormat="1" applyFont="1" applyFill="1" applyBorder="1" applyAlignment="1" applyProtection="1">
      <alignment horizontal="center"/>
      <protection locked="0"/>
    </xf>
    <xf numFmtId="0" fontId="6" fillId="0" borderId="60" xfId="0" applyFont="1" applyBorder="1" applyAlignment="1">
      <alignment horizontal="left" vertical="top" wrapText="1" indent="1"/>
    </xf>
    <xf numFmtId="0" fontId="6" fillId="0" borderId="61" xfId="0" applyFont="1" applyBorder="1" applyAlignment="1">
      <alignment horizontal="left" vertical="top" wrapText="1" indent="1"/>
    </xf>
    <xf numFmtId="0" fontId="6" fillId="0" borderId="66" xfId="0" applyFont="1" applyBorder="1" applyAlignment="1">
      <alignment horizontal="left" vertical="top" wrapText="1" indent="1"/>
    </xf>
    <xf numFmtId="0" fontId="6" fillId="0" borderId="65" xfId="0" applyFont="1" applyBorder="1" applyAlignment="1">
      <alignment horizontal="left" vertical="top" wrapText="1" indent="1"/>
    </xf>
    <xf numFmtId="0" fontId="6" fillId="0" borderId="63" xfId="0" applyFont="1" applyBorder="1" applyAlignment="1">
      <alignment horizontal="left" vertical="top" wrapText="1" indent="1"/>
    </xf>
    <xf numFmtId="0" fontId="1" fillId="27" borderId="52" xfId="0" applyFont="1" applyFill="1" applyBorder="1" applyAlignment="1" applyProtection="1">
      <alignment horizontal="left" vertical="top" wrapText="1" indent="1"/>
      <protection locked="0"/>
    </xf>
    <xf numFmtId="0" fontId="1" fillId="27" borderId="53" xfId="0" applyFont="1" applyFill="1" applyBorder="1" applyAlignment="1" applyProtection="1">
      <alignment horizontal="left" vertical="top" wrapText="1" indent="1"/>
      <protection locked="0"/>
    </xf>
    <xf numFmtId="0" fontId="6" fillId="0" borderId="44" xfId="0" applyFont="1" applyBorder="1" applyAlignment="1">
      <alignment horizontal="center" vertical="top" wrapText="1"/>
    </xf>
    <xf numFmtId="0" fontId="6" fillId="0" borderId="42" xfId="0" applyFont="1" applyBorder="1" applyAlignment="1">
      <alignment horizontal="center" vertical="top" wrapText="1"/>
    </xf>
    <xf numFmtId="0" fontId="1" fillId="0" borderId="7" xfId="0" applyFont="1" applyBorder="1" applyAlignment="1">
      <alignment horizontal="left" vertical="center" wrapText="1" indent="3"/>
    </xf>
    <xf numFmtId="0" fontId="1" fillId="0" borderId="0" xfId="0" applyFont="1" applyAlignment="1">
      <alignment horizontal="left" vertical="center" wrapText="1" indent="3"/>
    </xf>
    <xf numFmtId="0" fontId="1" fillId="0" borderId="8" xfId="0" applyFont="1" applyBorder="1" applyAlignment="1">
      <alignment horizontal="left" vertical="center" wrapText="1" indent="3"/>
    </xf>
    <xf numFmtId="0" fontId="25" fillId="0" borderId="7" xfId="0" applyFont="1" applyBorder="1" applyAlignment="1">
      <alignment horizontal="left" vertical="center" wrapText="1" indent="1"/>
    </xf>
    <xf numFmtId="0" fontId="25" fillId="0" borderId="0" xfId="0" applyFont="1" applyAlignment="1">
      <alignment horizontal="left" vertical="center" wrapText="1" indent="1"/>
    </xf>
    <xf numFmtId="0" fontId="25" fillId="0" borderId="8" xfId="0" applyFont="1" applyBorder="1" applyAlignment="1">
      <alignment horizontal="left" vertical="center" wrapText="1" indent="1"/>
    </xf>
    <xf numFmtId="0" fontId="1" fillId="0" borderId="1" xfId="0" applyFont="1" applyBorder="1" applyAlignment="1">
      <alignment horizontal="left" wrapText="1" indent="1"/>
    </xf>
    <xf numFmtId="0" fontId="1" fillId="0" borderId="2" xfId="0" applyFont="1" applyBorder="1" applyAlignment="1">
      <alignment horizontal="left" wrapText="1" indent="1"/>
    </xf>
    <xf numFmtId="0" fontId="1" fillId="0" borderId="3" xfId="0" applyFont="1" applyBorder="1" applyAlignment="1">
      <alignment horizontal="left" wrapText="1" indent="1"/>
    </xf>
    <xf numFmtId="0" fontId="1" fillId="0" borderId="4" xfId="0" applyFont="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left" wrapText="1" indent="1"/>
    </xf>
    <xf numFmtId="0" fontId="1" fillId="27" borderId="31" xfId="0" applyFont="1" applyFill="1" applyBorder="1" applyAlignment="1" applyProtection="1">
      <alignment horizontal="center" vertical="center" wrapText="1"/>
      <protection locked="0"/>
    </xf>
    <xf numFmtId="0" fontId="1" fillId="27" borderId="32" xfId="0" applyFont="1" applyFill="1" applyBorder="1" applyAlignment="1" applyProtection="1">
      <alignment horizontal="center" vertical="center" wrapText="1"/>
      <protection locked="0"/>
    </xf>
    <xf numFmtId="0" fontId="24" fillId="0" borderId="37" xfId="0" applyFont="1" applyBorder="1" applyAlignment="1">
      <alignment horizontal="left" vertical="top" wrapText="1" indent="1"/>
    </xf>
    <xf numFmtId="0" fontId="24" fillId="0" borderId="17" xfId="0" applyFont="1" applyBorder="1" applyAlignment="1">
      <alignment horizontal="left" vertical="top" wrapText="1" indent="1"/>
    </xf>
    <xf numFmtId="0" fontId="24" fillId="0" borderId="18" xfId="0" applyFont="1" applyBorder="1" applyAlignment="1">
      <alignment horizontal="left" vertical="top" wrapText="1" indent="1"/>
    </xf>
    <xf numFmtId="0" fontId="24" fillId="0" borderId="54" xfId="0" applyFont="1" applyBorder="1" applyAlignment="1">
      <alignment horizontal="left" vertical="top" wrapText="1" indent="1"/>
    </xf>
    <xf numFmtId="0" fontId="24" fillId="0" borderId="55" xfId="0" applyFont="1" applyBorder="1" applyAlignment="1">
      <alignment horizontal="left" vertical="top" wrapText="1" indent="1"/>
    </xf>
    <xf numFmtId="0" fontId="24" fillId="0" borderId="50" xfId="0" applyFont="1" applyBorder="1" applyAlignment="1">
      <alignment horizontal="left" vertical="top" wrapText="1" indent="1"/>
    </xf>
    <xf numFmtId="0" fontId="6" fillId="0" borderId="37" xfId="0" applyFont="1" applyBorder="1" applyAlignment="1">
      <alignment horizontal="left" vertical="top" wrapText="1" indent="1"/>
    </xf>
    <xf numFmtId="0" fontId="6" fillId="0" borderId="17" xfId="0" applyFont="1" applyBorder="1" applyAlignment="1">
      <alignment horizontal="left" vertical="top" wrapText="1" indent="1"/>
    </xf>
    <xf numFmtId="0" fontId="1" fillId="27" borderId="45" xfId="0" applyFont="1" applyFill="1" applyBorder="1" applyAlignment="1" applyProtection="1">
      <alignment horizontal="center" vertical="center" wrapText="1"/>
      <protection locked="0"/>
    </xf>
    <xf numFmtId="0" fontId="1" fillId="27" borderId="55" xfId="0" applyFont="1" applyFill="1" applyBorder="1" applyAlignment="1" applyProtection="1">
      <alignment horizontal="center" vertical="center" wrapText="1"/>
      <protection locked="0"/>
    </xf>
    <xf numFmtId="0" fontId="1" fillId="27" borderId="39" xfId="0" applyFont="1" applyFill="1" applyBorder="1" applyAlignment="1" applyProtection="1">
      <alignment horizontal="center" vertical="center" wrapText="1"/>
      <protection locked="0"/>
    </xf>
    <xf numFmtId="44" fontId="1" fillId="0" borderId="16" xfId="0" applyNumberFormat="1" applyFont="1" applyBorder="1" applyAlignment="1">
      <alignment horizontal="center"/>
    </xf>
    <xf numFmtId="44" fontId="1" fillId="0" borderId="38" xfId="0" applyNumberFormat="1" applyFont="1" applyBorder="1" applyAlignment="1">
      <alignment horizontal="center"/>
    </xf>
    <xf numFmtId="164" fontId="1" fillId="27" borderId="17" xfId="0" applyNumberFormat="1" applyFont="1" applyFill="1" applyBorder="1" applyAlignment="1" applyProtection="1">
      <alignment horizontal="left" vertical="top" wrapText="1"/>
      <protection locked="0"/>
    </xf>
    <xf numFmtId="164" fontId="1" fillId="27" borderId="18" xfId="0" applyNumberFormat="1" applyFont="1" applyFill="1" applyBorder="1" applyAlignment="1" applyProtection="1">
      <alignment horizontal="left" vertical="top" wrapText="1"/>
      <protection locked="0"/>
    </xf>
    <xf numFmtId="0" fontId="1" fillId="0" borderId="37" xfId="0" applyFont="1" applyBorder="1" applyAlignment="1">
      <alignment horizontal="left" vertical="top" wrapText="1" indent="3"/>
    </xf>
    <xf numFmtId="0" fontId="1" fillId="0" borderId="17" xfId="0" applyFont="1" applyBorder="1" applyAlignment="1">
      <alignment horizontal="left" vertical="top" wrapText="1" indent="3"/>
    </xf>
    <xf numFmtId="0" fontId="1" fillId="0" borderId="18" xfId="0" applyFont="1" applyBorder="1" applyAlignment="1">
      <alignment horizontal="left" vertical="top" wrapText="1" indent="3"/>
    </xf>
    <xf numFmtId="164" fontId="1" fillId="27" borderId="42" xfId="0" applyNumberFormat="1" applyFont="1" applyFill="1" applyBorder="1" applyAlignment="1" applyProtection="1">
      <alignment horizontal="left" vertical="top" wrapText="1"/>
      <protection locked="0"/>
    </xf>
    <xf numFmtId="0" fontId="1" fillId="0" borderId="1" xfId="0" applyFont="1" applyBorder="1" applyAlignment="1">
      <alignment horizontal="left" vertical="top" wrapText="1" indent="2"/>
    </xf>
    <xf numFmtId="0" fontId="1" fillId="0" borderId="2" xfId="0" applyFont="1" applyBorder="1" applyAlignment="1">
      <alignment horizontal="left" vertical="top" wrapText="1" indent="2"/>
    </xf>
    <xf numFmtId="0" fontId="1" fillId="0" borderId="3" xfId="0" applyFont="1" applyBorder="1" applyAlignment="1">
      <alignment horizontal="left" vertical="top" wrapText="1" indent="2"/>
    </xf>
    <xf numFmtId="0" fontId="6" fillId="0" borderId="59" xfId="0" applyFont="1" applyBorder="1" applyAlignment="1">
      <alignment horizontal="left" vertical="top" wrapText="1"/>
    </xf>
    <xf numFmtId="0" fontId="6" fillId="0" borderId="52" xfId="0" applyFont="1" applyBorder="1" applyAlignment="1">
      <alignment horizontal="left" vertical="top" wrapText="1"/>
    </xf>
    <xf numFmtId="0" fontId="1" fillId="27" borderId="54" xfId="0" applyFont="1" applyFill="1" applyBorder="1" applyAlignment="1" applyProtection="1">
      <alignment horizontal="center" vertical="center" wrapText="1"/>
      <protection locked="0"/>
    </xf>
    <xf numFmtId="0" fontId="25" fillId="0" borderId="37" xfId="0" applyFont="1" applyBorder="1" applyAlignment="1">
      <alignment horizontal="left" wrapText="1" indent="2"/>
    </xf>
    <xf numFmtId="0" fontId="25" fillId="0" borderId="17" xfId="0" applyFont="1" applyBorder="1" applyAlignment="1">
      <alignment horizontal="left" wrapText="1" indent="2"/>
    </xf>
    <xf numFmtId="0" fontId="1" fillId="0" borderId="7" xfId="0" applyFont="1" applyBorder="1" applyAlignment="1">
      <alignment horizontal="left" wrapText="1" indent="4"/>
    </xf>
    <xf numFmtId="0" fontId="0" fillId="0" borderId="0" xfId="0" applyAlignment="1">
      <alignment horizontal="left" wrapText="1" indent="4"/>
    </xf>
    <xf numFmtId="0" fontId="0" fillId="0" borderId="8" xfId="0" applyBorder="1" applyAlignment="1">
      <alignment horizontal="left" wrapText="1" indent="4"/>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164" fontId="1" fillId="27" borderId="5" xfId="0" applyNumberFormat="1" applyFont="1" applyFill="1" applyBorder="1" applyAlignment="1" applyProtection="1">
      <alignment horizontal="center" vertical="center" wrapText="1"/>
      <protection locked="0"/>
    </xf>
    <xf numFmtId="164" fontId="1" fillId="27" borderId="6" xfId="0" applyNumberFormat="1" applyFont="1" applyFill="1" applyBorder="1" applyAlignment="1" applyProtection="1">
      <alignment horizontal="center" vertical="center" wrapText="1"/>
      <protection locked="0"/>
    </xf>
    <xf numFmtId="0" fontId="5" fillId="0" borderId="9"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7" xfId="0" applyFont="1" applyBorder="1" applyAlignment="1">
      <alignment horizontal="left" vertical="top" wrapText="1" indent="1"/>
    </xf>
    <xf numFmtId="0" fontId="1" fillId="0" borderId="28" xfId="0" applyFont="1" applyBorder="1" applyAlignment="1">
      <alignment horizontal="left" vertical="top" wrapText="1" indent="1"/>
    </xf>
    <xf numFmtId="165" fontId="1" fillId="2" borderId="21" xfId="0" applyNumberFormat="1" applyFont="1" applyFill="1" applyBorder="1" applyAlignment="1">
      <alignment horizontal="center" vertical="center" wrapText="1"/>
    </xf>
    <xf numFmtId="165" fontId="1" fillId="2" borderId="22" xfId="0" applyNumberFormat="1" applyFont="1" applyFill="1" applyBorder="1" applyAlignment="1">
      <alignment horizontal="center" vertical="center" wrapText="1"/>
    </xf>
    <xf numFmtId="0" fontId="1" fillId="0" borderId="19" xfId="0" applyFont="1" applyBorder="1" applyAlignment="1">
      <alignment horizontal="center" vertical="top" wrapText="1"/>
    </xf>
    <xf numFmtId="0" fontId="1" fillId="0" borderId="31" xfId="0" applyFont="1" applyBorder="1" applyAlignment="1">
      <alignment horizontal="center" vertical="top" wrapText="1"/>
    </xf>
    <xf numFmtId="0" fontId="1" fillId="0" borderId="0" xfId="0" applyFont="1" applyAlignment="1">
      <alignment horizontal="center" vertical="top" wrapText="1"/>
    </xf>
    <xf numFmtId="0" fontId="1" fillId="0" borderId="8" xfId="0" applyFont="1" applyBorder="1" applyAlignment="1">
      <alignment horizontal="center" vertical="top" wrapText="1"/>
    </xf>
    <xf numFmtId="164" fontId="1" fillId="27" borderId="33" xfId="0" applyNumberFormat="1" applyFont="1" applyFill="1" applyBorder="1" applyAlignment="1" applyProtection="1">
      <alignment horizontal="center" vertical="top" wrapText="1"/>
      <protection locked="0"/>
    </xf>
    <xf numFmtId="164" fontId="1" fillId="27" borderId="5" xfId="0" applyNumberFormat="1" applyFont="1" applyFill="1" applyBorder="1" applyAlignment="1" applyProtection="1">
      <alignment horizontal="center" vertical="top" wrapText="1"/>
      <protection locked="0"/>
    </xf>
    <xf numFmtId="164" fontId="1" fillId="27" borderId="6" xfId="0" applyNumberFormat="1" applyFont="1" applyFill="1" applyBorder="1" applyAlignment="1" applyProtection="1">
      <alignment horizontal="center" vertical="top" wrapText="1"/>
      <protection locked="0"/>
    </xf>
    <xf numFmtId="0" fontId="1" fillId="27" borderId="19" xfId="0" applyFont="1" applyFill="1" applyBorder="1" applyAlignment="1" applyProtection="1">
      <alignment horizontal="left" vertical="top" wrapText="1" indent="1"/>
      <protection locked="0"/>
    </xf>
    <xf numFmtId="0" fontId="1" fillId="27" borderId="31" xfId="0" applyFont="1" applyFill="1" applyBorder="1" applyAlignment="1" applyProtection="1">
      <alignment horizontal="left" vertical="top" wrapText="1" indent="1"/>
      <protection locked="0"/>
    </xf>
    <xf numFmtId="0" fontId="1" fillId="27" borderId="20" xfId="0" applyFont="1" applyFill="1" applyBorder="1" applyAlignment="1" applyProtection="1">
      <alignment horizontal="left" vertical="top" wrapText="1" indent="1"/>
      <protection locked="0"/>
    </xf>
    <xf numFmtId="0" fontId="1" fillId="27" borderId="33" xfId="0" applyFont="1" applyFill="1" applyBorder="1" applyAlignment="1" applyProtection="1">
      <alignment horizontal="left" vertical="top" wrapText="1" indent="1"/>
      <protection locked="0"/>
    </xf>
    <xf numFmtId="0" fontId="1" fillId="27" borderId="5" xfId="0" applyFont="1" applyFill="1" applyBorder="1" applyAlignment="1" applyProtection="1">
      <alignment horizontal="left" vertical="top" wrapText="1" indent="1"/>
      <protection locked="0"/>
    </xf>
    <xf numFmtId="0" fontId="1" fillId="27" borderId="34" xfId="0" applyFont="1" applyFill="1" applyBorder="1" applyAlignment="1" applyProtection="1">
      <alignment horizontal="left" vertical="top" wrapText="1" indent="1"/>
      <protection locked="0"/>
    </xf>
    <xf numFmtId="0" fontId="1" fillId="0" borderId="30" xfId="0" applyFont="1" applyBorder="1" applyAlignment="1">
      <alignment horizontal="left" vertical="center" wrapText="1" indent="1"/>
    </xf>
    <xf numFmtId="0" fontId="1" fillId="0" borderId="31" xfId="0" applyFont="1" applyBorder="1" applyAlignment="1">
      <alignment horizontal="left" vertical="center" wrapText="1" indent="1"/>
    </xf>
    <xf numFmtId="0" fontId="1" fillId="27" borderId="23" xfId="0" applyFont="1" applyFill="1" applyBorder="1" applyAlignment="1" applyProtection="1">
      <alignment horizontal="center" vertical="center" wrapText="1"/>
      <protection locked="0"/>
    </xf>
    <xf numFmtId="0" fontId="1" fillId="27" borderId="25" xfId="0" applyFont="1" applyFill="1" applyBorder="1" applyAlignment="1" applyProtection="1">
      <alignment horizontal="center" vertical="center" wrapText="1"/>
      <protection locked="0"/>
    </xf>
    <xf numFmtId="0" fontId="1" fillId="0" borderId="2" xfId="0" applyFont="1" applyBorder="1" applyAlignment="1">
      <alignment horizontal="center" vertical="top" wrapText="1"/>
    </xf>
    <xf numFmtId="0" fontId="1" fillId="0" borderId="27"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25" fillId="0" borderId="1" xfId="0" applyFont="1" applyBorder="1" applyAlignment="1">
      <alignment horizontal="left" vertical="center" wrapText="1" indent="2"/>
    </xf>
    <xf numFmtId="0" fontId="25" fillId="0" borderId="2" xfId="0" applyFont="1" applyBorder="1" applyAlignment="1">
      <alignment horizontal="left" vertical="center" wrapText="1" indent="2"/>
    </xf>
    <xf numFmtId="0" fontId="25" fillId="0" borderId="3" xfId="0" applyFont="1" applyBorder="1" applyAlignment="1">
      <alignment horizontal="left" vertical="center" wrapText="1" indent="2"/>
    </xf>
    <xf numFmtId="0" fontId="25" fillId="0" borderId="4" xfId="0" applyFont="1" applyBorder="1" applyAlignment="1">
      <alignment horizontal="left" vertical="center" wrapText="1" indent="2"/>
    </xf>
    <xf numFmtId="0" fontId="25" fillId="0" borderId="5" xfId="0" applyFont="1" applyBorder="1" applyAlignment="1">
      <alignment horizontal="left" vertical="center" wrapText="1" indent="2"/>
    </xf>
    <xf numFmtId="0" fontId="25" fillId="0" borderId="6" xfId="0" applyFont="1" applyBorder="1" applyAlignment="1">
      <alignment horizontal="left" vertical="center" wrapText="1" indent="2"/>
    </xf>
    <xf numFmtId="0" fontId="1" fillId="27" borderId="4" xfId="0" applyFont="1" applyFill="1" applyBorder="1" applyAlignment="1" applyProtection="1">
      <alignment horizontal="left" wrapText="1"/>
      <protection locked="0"/>
    </xf>
    <xf numFmtId="0" fontId="1" fillId="27" borderId="5" xfId="0" applyFont="1" applyFill="1" applyBorder="1" applyAlignment="1" applyProtection="1">
      <alignment horizontal="left" wrapText="1"/>
      <protection locked="0"/>
    </xf>
    <xf numFmtId="0" fontId="1" fillId="27" borderId="6" xfId="0" applyFont="1" applyFill="1" applyBorder="1" applyAlignment="1" applyProtection="1">
      <alignment horizontal="left" wrapText="1"/>
      <protection locked="0"/>
    </xf>
    <xf numFmtId="0" fontId="5" fillId="0" borderId="9" xfId="0" applyFont="1" applyBorder="1" applyAlignment="1">
      <alignment wrapText="1"/>
    </xf>
    <xf numFmtId="0" fontId="5" fillId="0" borderId="10" xfId="0" applyFont="1" applyBorder="1" applyAlignment="1">
      <alignment wrapText="1"/>
    </xf>
    <xf numFmtId="0" fontId="5" fillId="0" borderId="11" xfId="0" applyFont="1" applyBorder="1" applyAlignment="1">
      <alignment wrapText="1"/>
    </xf>
    <xf numFmtId="0" fontId="25" fillId="0" borderId="64" xfId="0" applyFont="1" applyBorder="1" applyAlignment="1">
      <alignment horizontal="left" wrapText="1" indent="2"/>
    </xf>
    <xf numFmtId="0" fontId="25" fillId="0" borderId="65" xfId="0" applyFont="1" applyBorder="1" applyAlignment="1">
      <alignment horizontal="left" wrapText="1" indent="2"/>
    </xf>
    <xf numFmtId="0" fontId="25" fillId="0" borderId="63" xfId="0" applyFont="1" applyBorder="1" applyAlignment="1">
      <alignment horizontal="left" wrapText="1" indent="2"/>
    </xf>
    <xf numFmtId="0" fontId="1" fillId="27" borderId="64" xfId="0" applyFont="1" applyFill="1" applyBorder="1" applyAlignment="1" applyProtection="1">
      <alignment horizontal="center" vertical="center" wrapText="1"/>
      <protection locked="0"/>
    </xf>
    <xf numFmtId="0" fontId="1" fillId="27" borderId="63" xfId="0" applyFont="1" applyFill="1" applyBorder="1" applyAlignment="1" applyProtection="1">
      <alignment horizontal="center" vertical="center" wrapText="1"/>
      <protection locked="0"/>
    </xf>
    <xf numFmtId="0" fontId="4" fillId="0" borderId="2" xfId="0" applyFont="1" applyBorder="1" applyAlignment="1">
      <alignment horizontal="left"/>
    </xf>
    <xf numFmtId="164" fontId="1" fillId="27" borderId="2" xfId="0" applyNumberFormat="1" applyFont="1" applyFill="1" applyBorder="1" applyAlignment="1" applyProtection="1">
      <alignment horizontal="center" wrapText="1"/>
      <protection locked="0"/>
    </xf>
    <xf numFmtId="164" fontId="1" fillId="27" borderId="3" xfId="0" applyNumberFormat="1" applyFont="1" applyFill="1" applyBorder="1" applyAlignment="1" applyProtection="1">
      <alignment horizontal="center" wrapText="1"/>
      <protection locked="0"/>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6" fillId="0" borderId="7" xfId="0" applyFont="1" applyBorder="1" applyAlignment="1">
      <alignment horizontal="left" wrapText="1"/>
    </xf>
    <xf numFmtId="0" fontId="6" fillId="0" borderId="0" xfId="0" applyFont="1" applyAlignment="1">
      <alignment horizontal="left" wrapText="1"/>
    </xf>
    <xf numFmtId="0" fontId="1" fillId="0" borderId="9" xfId="0" applyFont="1" applyBorder="1" applyAlignment="1">
      <alignment horizontal="left" wrapText="1" indent="1"/>
    </xf>
    <xf numFmtId="0" fontId="1" fillId="0" borderId="10" xfId="0" applyFont="1" applyBorder="1" applyAlignment="1">
      <alignment horizontal="left" wrapText="1" indent="1"/>
    </xf>
    <xf numFmtId="0" fontId="1" fillId="0" borderId="11" xfId="0" applyFont="1" applyBorder="1" applyAlignment="1">
      <alignment horizontal="left" wrapText="1" indent="1"/>
    </xf>
    <xf numFmtId="0" fontId="4" fillId="0" borderId="5" xfId="0" applyFont="1" applyBorder="1" applyAlignment="1">
      <alignment horizontal="left" wrapText="1"/>
    </xf>
    <xf numFmtId="0" fontId="4" fillId="0" borderId="6" xfId="0" applyFont="1" applyBorder="1" applyAlignment="1">
      <alignment horizontal="left"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wrapText="1" indent="4"/>
    </xf>
    <xf numFmtId="0" fontId="1" fillId="0" borderId="8" xfId="0" applyFont="1" applyBorder="1" applyAlignment="1">
      <alignment horizontal="left" wrapText="1" indent="4"/>
    </xf>
    <xf numFmtId="44" fontId="1" fillId="27" borderId="61" xfId="0" applyNumberFormat="1" applyFont="1" applyFill="1" applyBorder="1" applyAlignment="1" applyProtection="1">
      <alignment horizontal="center"/>
      <protection locked="0"/>
    </xf>
    <xf numFmtId="44" fontId="1" fillId="27" borderId="62" xfId="0" applyNumberFormat="1" applyFont="1" applyFill="1" applyBorder="1" applyAlignment="1" applyProtection="1">
      <alignment horizontal="center"/>
      <protection locked="0"/>
    </xf>
    <xf numFmtId="0" fontId="1" fillId="0" borderId="0" xfId="0" applyFont="1" applyAlignment="1">
      <alignment horizontal="center"/>
    </xf>
    <xf numFmtId="0" fontId="1" fillId="0" borderId="8" xfId="0" applyFont="1" applyBorder="1" applyAlignment="1">
      <alignment horizontal="center"/>
    </xf>
    <xf numFmtId="0" fontId="1" fillId="27" borderId="52" xfId="0" applyFont="1" applyFill="1" applyBorder="1" applyAlignment="1" applyProtection="1">
      <alignment horizontal="center" vertical="center"/>
      <protection locked="0"/>
    </xf>
    <xf numFmtId="0" fontId="1" fillId="27" borderId="53" xfId="0" applyFont="1" applyFill="1" applyBorder="1" applyAlignment="1" applyProtection="1">
      <alignment horizontal="center" vertical="center"/>
      <protection locked="0"/>
    </xf>
    <xf numFmtId="0" fontId="25" fillId="0" borderId="54" xfId="0" applyFont="1" applyBorder="1" applyAlignment="1">
      <alignment horizontal="left" wrapText="1" indent="2"/>
    </xf>
    <xf numFmtId="0" fontId="25" fillId="0" borderId="55" xfId="0" applyFont="1" applyBorder="1" applyAlignment="1">
      <alignment horizontal="left" wrapText="1" indent="2"/>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4" fillId="0" borderId="7" xfId="0" applyFont="1" applyBorder="1" applyAlignment="1">
      <alignment wrapText="1"/>
    </xf>
    <xf numFmtId="0" fontId="4" fillId="0" borderId="0" xfId="0" applyFont="1" applyAlignment="1">
      <alignment wrapText="1"/>
    </xf>
    <xf numFmtId="0" fontId="4" fillId="0" borderId="8" xfId="0" applyFont="1" applyBorder="1" applyAlignment="1">
      <alignment wrapText="1"/>
    </xf>
    <xf numFmtId="0" fontId="12" fillId="0" borderId="37" xfId="0" applyFont="1" applyBorder="1" applyAlignment="1">
      <alignment horizontal="left" vertical="top" wrapText="1" indent="1"/>
    </xf>
    <xf numFmtId="0" fontId="12" fillId="0" borderId="17" xfId="0" applyFont="1" applyBorder="1" applyAlignment="1">
      <alignment horizontal="left" vertical="top" wrapText="1" indent="1"/>
    </xf>
    <xf numFmtId="0" fontId="1" fillId="0" borderId="38" xfId="0" applyFont="1" applyBorder="1" applyAlignment="1">
      <alignment horizontal="left" vertical="top" wrapText="1" indent="3"/>
    </xf>
    <xf numFmtId="0" fontId="24" fillId="0" borderId="1" xfId="0" applyFont="1" applyBorder="1" applyAlignment="1">
      <alignment horizontal="left" wrapText="1"/>
    </xf>
    <xf numFmtId="0" fontId="24" fillId="0" borderId="2" xfId="0" applyFont="1" applyBorder="1" applyAlignment="1">
      <alignment horizontal="left" wrapText="1"/>
    </xf>
    <xf numFmtId="0" fontId="24" fillId="0" borderId="3" xfId="0" applyFont="1" applyBorder="1" applyAlignment="1">
      <alignment horizontal="left" wrapText="1"/>
    </xf>
    <xf numFmtId="0" fontId="6" fillId="0" borderId="42" xfId="0" applyFont="1" applyBorder="1" applyAlignment="1">
      <alignment horizontal="left" vertical="top" wrapText="1" indent="1"/>
    </xf>
    <xf numFmtId="0" fontId="6" fillId="0" borderId="16" xfId="0" applyFont="1" applyBorder="1" applyAlignment="1">
      <alignment horizontal="left" vertical="top" wrapText="1" indent="1"/>
    </xf>
    <xf numFmtId="0" fontId="4" fillId="0" borderId="1" xfId="0" applyFont="1" applyBorder="1" applyAlignment="1">
      <alignment horizontal="left" vertical="top" wrapText="1" indent="2"/>
    </xf>
    <xf numFmtId="0" fontId="4" fillId="0" borderId="2" xfId="0" applyFont="1" applyBorder="1" applyAlignment="1">
      <alignment horizontal="left" vertical="top" wrapText="1" indent="2"/>
    </xf>
    <xf numFmtId="0" fontId="4" fillId="0" borderId="3" xfId="0" applyFont="1" applyBorder="1" applyAlignment="1">
      <alignment horizontal="left" vertical="top" wrapText="1" indent="2"/>
    </xf>
    <xf numFmtId="0" fontId="25" fillId="0" borderId="1" xfId="0" applyFont="1" applyBorder="1" applyAlignment="1">
      <alignment horizontal="left" vertical="top" wrapText="1" indent="2"/>
    </xf>
    <xf numFmtId="0" fontId="25" fillId="0" borderId="2" xfId="0" applyFont="1" applyBorder="1" applyAlignment="1">
      <alignment horizontal="left" vertical="top" wrapText="1" indent="2"/>
    </xf>
    <xf numFmtId="0" fontId="25" fillId="0" borderId="3" xfId="0" applyFont="1" applyBorder="1" applyAlignment="1">
      <alignment horizontal="left" vertical="top" wrapText="1" indent="2"/>
    </xf>
    <xf numFmtId="166" fontId="1" fillId="0" borderId="61" xfId="0" applyNumberFormat="1" applyFont="1" applyBorder="1" applyAlignment="1">
      <alignment horizontal="center" vertical="center" wrapText="1"/>
    </xf>
    <xf numFmtId="166" fontId="1" fillId="0" borderId="62"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165" fontId="1" fillId="0" borderId="3" xfId="0" applyNumberFormat="1" applyFont="1" applyBorder="1" applyAlignment="1">
      <alignment horizontal="center" vertical="center"/>
    </xf>
    <xf numFmtId="165" fontId="1" fillId="0" borderId="7" xfId="0" applyNumberFormat="1" applyFont="1" applyBorder="1" applyAlignment="1">
      <alignment horizontal="center" vertical="center"/>
    </xf>
    <xf numFmtId="165" fontId="1" fillId="0" borderId="8" xfId="0" applyNumberFormat="1" applyFont="1" applyBorder="1" applyAlignment="1">
      <alignment horizontal="center" vertical="center"/>
    </xf>
    <xf numFmtId="0" fontId="25" fillId="0" borderId="9" xfId="0" applyFont="1" applyBorder="1" applyAlignment="1">
      <alignment horizontal="left" vertical="center" wrapText="1" indent="1"/>
    </xf>
    <xf numFmtId="0" fontId="25" fillId="0" borderId="10" xfId="0" applyFont="1" applyBorder="1" applyAlignment="1">
      <alignment horizontal="left" vertical="center" wrapText="1" indent="1"/>
    </xf>
    <xf numFmtId="0" fontId="25" fillId="0" borderId="11" xfId="0" applyFont="1" applyBorder="1" applyAlignment="1">
      <alignment horizontal="left" vertical="center" wrapText="1" indent="1"/>
    </xf>
    <xf numFmtId="0" fontId="5" fillId="0" borderId="1" xfId="0" applyFont="1" applyBorder="1" applyAlignment="1">
      <alignment horizontal="left" vertical="top" wrapText="1" indent="1"/>
    </xf>
    <xf numFmtId="0" fontId="5" fillId="0" borderId="2" xfId="0" applyFont="1" applyBorder="1" applyAlignment="1">
      <alignment horizontal="left" vertical="top" wrapText="1" indent="1"/>
    </xf>
    <xf numFmtId="0" fontId="5" fillId="0" borderId="3" xfId="0" applyFont="1" applyBorder="1" applyAlignment="1">
      <alignment horizontal="left" vertical="top" wrapText="1" indent="1"/>
    </xf>
    <xf numFmtId="0" fontId="6" fillId="0" borderId="38" xfId="0" applyFont="1" applyBorder="1" applyAlignment="1">
      <alignment horizontal="left" vertical="top" wrapText="1" indent="1"/>
    </xf>
    <xf numFmtId="44" fontId="1" fillId="27" borderId="38" xfId="0" applyNumberFormat="1" applyFont="1" applyFill="1" applyBorder="1" applyAlignment="1" applyProtection="1">
      <alignment horizontal="center" vertical="top" wrapText="1"/>
      <protection locked="0"/>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6" fillId="0" borderId="15" xfId="0" applyFont="1" applyBorder="1" applyAlignment="1">
      <alignment horizontal="right" vertical="center" indent="1"/>
    </xf>
    <xf numFmtId="0" fontId="6" fillId="0" borderId="14" xfId="0" applyFont="1" applyBorder="1" applyAlignment="1">
      <alignment horizontal="right" vertical="center" indent="1"/>
    </xf>
    <xf numFmtId="44" fontId="6" fillId="0" borderId="1" xfId="0" applyNumberFormat="1" applyFont="1" applyBorder="1" applyAlignment="1">
      <alignment horizontal="center" vertical="center"/>
    </xf>
    <xf numFmtId="44" fontId="6" fillId="0" borderId="3" xfId="0" applyNumberFormat="1" applyFont="1" applyBorder="1" applyAlignment="1">
      <alignment horizontal="center" vertical="center"/>
    </xf>
    <xf numFmtId="44" fontId="6" fillId="0" borderId="4" xfId="0" applyNumberFormat="1" applyFont="1" applyBorder="1" applyAlignment="1">
      <alignment horizontal="center" vertical="center"/>
    </xf>
    <xf numFmtId="44" fontId="6" fillId="0" borderId="6"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right" vertical="center" wrapText="1" indent="1"/>
    </xf>
    <xf numFmtId="0" fontId="6" fillId="0" borderId="10" xfId="0" applyFont="1" applyBorder="1" applyAlignment="1">
      <alignment horizontal="right" vertical="center" wrapText="1" indent="1"/>
    </xf>
    <xf numFmtId="0" fontId="6" fillId="0" borderId="11" xfId="0" applyFont="1" applyBorder="1" applyAlignment="1">
      <alignment horizontal="right" vertical="center" wrapText="1" indent="1"/>
    </xf>
    <xf numFmtId="0" fontId="12" fillId="0" borderId="1"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1" fontId="4" fillId="0" borderId="15"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10" fontId="4" fillId="0" borderId="15" xfId="0" applyNumberFormat="1" applyFont="1" applyBorder="1" applyAlignment="1">
      <alignment horizontal="center" vertical="center" wrapText="1"/>
    </xf>
    <xf numFmtId="10" fontId="4" fillId="0" borderId="14" xfId="0" applyNumberFormat="1" applyFont="1" applyBorder="1" applyAlignment="1">
      <alignment horizontal="center" vertical="center" wrapText="1"/>
    </xf>
    <xf numFmtId="1" fontId="6" fillId="0" borderId="64" xfId="0" applyNumberFormat="1" applyFont="1" applyBorder="1" applyAlignment="1">
      <alignment horizontal="center" vertical="center" wrapText="1"/>
    </xf>
    <xf numFmtId="1" fontId="6" fillId="0" borderId="63" xfId="0" applyNumberFormat="1" applyFont="1" applyBorder="1" applyAlignment="1">
      <alignment horizontal="center" vertical="center" wrapText="1"/>
    </xf>
    <xf numFmtId="44" fontId="1" fillId="0" borderId="54" xfId="0" applyNumberFormat="1" applyFont="1" applyBorder="1" applyAlignment="1">
      <alignment horizontal="center"/>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6" xfId="0" applyFont="1" applyBorder="1" applyAlignment="1">
      <alignment horizontal="left" vertical="center" wrapText="1" inden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10" fillId="0" borderId="8" xfId="0" applyFont="1" applyBorder="1" applyAlignment="1">
      <alignment horizontal="center" vertical="top"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2" fillId="0" borderId="1" xfId="0" applyFont="1" applyBorder="1" applyAlignment="1">
      <alignment horizontal="left" vertical="top" wrapText="1" indent="1"/>
    </xf>
    <xf numFmtId="0" fontId="12" fillId="0" borderId="2" xfId="0" applyFont="1" applyBorder="1" applyAlignment="1">
      <alignment horizontal="left" vertical="top" wrapText="1" indent="1"/>
    </xf>
    <xf numFmtId="0" fontId="12" fillId="0" borderId="3" xfId="0" applyFont="1" applyBorder="1" applyAlignment="1">
      <alignment horizontal="left" vertical="top" wrapText="1" indent="1"/>
    </xf>
    <xf numFmtId="0" fontId="4" fillId="0" borderId="1" xfId="0" applyFont="1" applyBorder="1" applyAlignment="1">
      <alignment horizontal="center" vertical="top" wrapText="1"/>
    </xf>
    <xf numFmtId="165" fontId="4" fillId="0" borderId="7" xfId="0" applyNumberFormat="1" applyFont="1" applyBorder="1" applyAlignment="1">
      <alignment horizontal="left" vertical="center" wrapText="1" indent="1"/>
    </xf>
    <xf numFmtId="165" fontId="4" fillId="0" borderId="0" xfId="0" applyNumberFormat="1" applyFont="1" applyAlignment="1">
      <alignment horizontal="left" vertical="center" wrapText="1" indent="1"/>
    </xf>
    <xf numFmtId="165" fontId="4" fillId="0" borderId="8" xfId="0" applyNumberFormat="1" applyFont="1" applyBorder="1" applyAlignment="1">
      <alignment horizontal="left" vertical="center" wrapText="1" indent="1"/>
    </xf>
    <xf numFmtId="165" fontId="4" fillId="0" borderId="7"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49" fontId="4" fillId="0" borderId="44" xfId="0" applyNumberFormat="1" applyFont="1" applyBorder="1" applyAlignment="1">
      <alignment horizontal="left" vertical="top" wrapText="1" indent="1"/>
    </xf>
    <xf numFmtId="49" fontId="4" fillId="0" borderId="42" xfId="0" applyNumberFormat="1" applyFont="1" applyBorder="1" applyAlignment="1">
      <alignment horizontal="left" vertical="top" wrapText="1" indent="1"/>
    </xf>
    <xf numFmtId="165" fontId="4" fillId="0" borderId="16" xfId="0" applyNumberFormat="1" applyFont="1" applyBorder="1" applyAlignment="1">
      <alignment horizontal="left" vertical="top" wrapText="1" indent="1"/>
    </xf>
    <xf numFmtId="165" fontId="4" fillId="0" borderId="17" xfId="0" applyNumberFormat="1" applyFont="1" applyBorder="1" applyAlignment="1">
      <alignment horizontal="left" vertical="top" wrapText="1" indent="1"/>
    </xf>
    <xf numFmtId="165" fontId="4" fillId="0" borderId="38" xfId="0" applyNumberFormat="1" applyFont="1" applyBorder="1" applyAlignment="1">
      <alignment horizontal="left" vertical="top" wrapText="1" indent="1"/>
    </xf>
    <xf numFmtId="164" fontId="4" fillId="0" borderId="23" xfId="0" applyNumberFormat="1" applyFont="1" applyBorder="1" applyAlignment="1">
      <alignment horizontal="center" vertical="top" wrapText="1"/>
    </xf>
    <xf numFmtId="164" fontId="4" fillId="0" borderId="25" xfId="0" applyNumberFormat="1" applyFont="1" applyBorder="1" applyAlignment="1">
      <alignment horizontal="center" vertical="top" wrapText="1"/>
    </xf>
    <xf numFmtId="164" fontId="4" fillId="0" borderId="23" xfId="0" applyNumberFormat="1" applyFont="1" applyBorder="1" applyAlignment="1">
      <alignment horizontal="center" vertical="top"/>
    </xf>
    <xf numFmtId="164" fontId="4" fillId="0" borderId="25" xfId="0" applyNumberFormat="1" applyFont="1" applyBorder="1" applyAlignment="1">
      <alignment horizontal="center" vertical="top"/>
    </xf>
    <xf numFmtId="0" fontId="12" fillId="0" borderId="7" xfId="0" applyFont="1" applyBorder="1" applyAlignment="1">
      <alignment horizontal="center" vertical="top" wrapText="1"/>
    </xf>
    <xf numFmtId="0" fontId="12" fillId="0" borderId="0" xfId="0" applyFont="1" applyAlignment="1">
      <alignment horizontal="center" vertical="top" wrapText="1"/>
    </xf>
    <xf numFmtId="0" fontId="12" fillId="0" borderId="8" xfId="0" applyFont="1" applyBorder="1" applyAlignment="1">
      <alignment horizontal="center" vertical="top" wrapText="1"/>
    </xf>
    <xf numFmtId="0" fontId="4" fillId="0" borderId="58" xfId="0" applyFont="1" applyBorder="1" applyAlignment="1">
      <alignment horizontal="left" vertical="top" wrapText="1" indent="1"/>
    </xf>
    <xf numFmtId="0" fontId="4" fillId="0" borderId="41" xfId="0" applyFont="1" applyBorder="1" applyAlignment="1">
      <alignment horizontal="left" vertical="top" wrapText="1" indent="1"/>
    </xf>
    <xf numFmtId="0" fontId="4" fillId="0" borderId="47" xfId="0" applyFont="1" applyBorder="1" applyAlignment="1">
      <alignment horizontal="left" vertical="top" wrapText="1" indent="1"/>
    </xf>
    <xf numFmtId="170" fontId="4" fillId="0" borderId="23" xfId="0" applyNumberFormat="1" applyFont="1" applyBorder="1" applyAlignment="1">
      <alignment horizontal="center" vertical="top"/>
    </xf>
    <xf numFmtId="170" fontId="4" fillId="0" borderId="25" xfId="0" applyNumberFormat="1" applyFont="1" applyBorder="1" applyAlignment="1">
      <alignment horizontal="center" vertical="top"/>
    </xf>
    <xf numFmtId="0" fontId="5" fillId="0" borderId="7" xfId="0" applyFont="1" applyBorder="1" applyAlignment="1">
      <alignment horizontal="center" vertical="top" wrapText="1"/>
    </xf>
    <xf numFmtId="0" fontId="5" fillId="0" borderId="0" xfId="0" applyFont="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4" fillId="0" borderId="30"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applyAlignment="1">
      <alignment horizontal="center" vertical="top" wrapText="1"/>
    </xf>
    <xf numFmtId="164" fontId="4" fillId="0" borderId="35" xfId="0" applyNumberFormat="1" applyFont="1" applyBorder="1" applyAlignment="1">
      <alignment horizontal="center" vertical="top" wrapText="1"/>
    </xf>
    <xf numFmtId="164" fontId="4" fillId="0" borderId="118" xfId="0" applyNumberFormat="1" applyFont="1" applyBorder="1" applyAlignment="1">
      <alignment horizontal="center" vertical="top" wrapText="1"/>
    </xf>
    <xf numFmtId="0" fontId="19" fillId="4" borderId="1"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3" xfId="0" applyFont="1" applyFill="1" applyBorder="1" applyAlignment="1">
      <alignment horizontal="left" vertical="center" wrapText="1" indent="1"/>
    </xf>
    <xf numFmtId="0" fontId="19" fillId="4" borderId="4"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19" fillId="4" borderId="6" xfId="0" applyFont="1" applyFill="1" applyBorder="1" applyAlignment="1">
      <alignment horizontal="left" vertical="center" wrapText="1" indent="1"/>
    </xf>
    <xf numFmtId="44" fontId="6" fillId="0" borderId="54" xfId="0" applyNumberFormat="1" applyFont="1" applyBorder="1" applyAlignment="1">
      <alignment horizontal="center"/>
    </xf>
    <xf numFmtId="44" fontId="6" fillId="0" borderId="55" xfId="0" applyNumberFormat="1" applyFont="1" applyBorder="1" applyAlignment="1">
      <alignment horizontal="center"/>
    </xf>
    <xf numFmtId="44" fontId="6" fillId="0" borderId="39" xfId="0" applyNumberFormat="1" applyFont="1" applyBorder="1" applyAlignment="1">
      <alignment horizontal="center"/>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15"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8"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7" xfId="0" applyFont="1" applyFill="1" applyBorder="1" applyAlignment="1">
      <alignment horizontal="center" wrapText="1"/>
    </xf>
    <xf numFmtId="0" fontId="2" fillId="2" borderId="0" xfId="0" applyFont="1" applyFill="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49" fontId="24" fillId="0" borderId="4" xfId="0" applyNumberFormat="1" applyFont="1" applyBorder="1" applyAlignment="1">
      <alignment horizontal="left" vertical="top" wrapText="1"/>
    </xf>
    <xf numFmtId="49" fontId="25" fillId="0" borderId="5" xfId="0" applyNumberFormat="1" applyFont="1" applyBorder="1" applyAlignment="1">
      <alignment horizontal="left" vertical="top" wrapText="1"/>
    </xf>
    <xf numFmtId="49" fontId="25" fillId="0" borderId="6" xfId="0" applyNumberFormat="1" applyFont="1" applyBorder="1" applyAlignment="1">
      <alignment horizontal="left" vertical="top" wrapText="1"/>
    </xf>
    <xf numFmtId="165" fontId="4" fillId="0" borderId="30" xfId="0" applyNumberFormat="1" applyFont="1" applyBorder="1" applyAlignment="1">
      <alignment horizontal="left" vertical="top" wrapText="1" indent="1"/>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0" fillId="0" borderId="35" xfId="0" applyBorder="1" applyAlignment="1">
      <alignment horizontal="left" vertical="top" wrapText="1" indent="1"/>
    </xf>
    <xf numFmtId="0" fontId="0" fillId="0" borderId="24" xfId="0" applyBorder="1" applyAlignment="1">
      <alignment horizontal="left" vertical="top" wrapText="1" indent="1"/>
    </xf>
    <xf numFmtId="0" fontId="0" fillId="0" borderId="36" xfId="0" applyBorder="1" applyAlignment="1">
      <alignment horizontal="left" vertical="top" wrapText="1" inden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39" fillId="0" borderId="21" xfId="0" applyFont="1" applyBorder="1" applyAlignment="1">
      <alignment horizontal="left" vertical="top"/>
    </xf>
    <xf numFmtId="0" fontId="39" fillId="0" borderId="23" xfId="0" applyFont="1" applyBorder="1" applyAlignment="1">
      <alignment horizontal="left" vertical="top"/>
    </xf>
    <xf numFmtId="0" fontId="30" fillId="0" borderId="0" xfId="0" applyFont="1" applyAlignment="1">
      <alignment horizontal="left" wrapText="1"/>
    </xf>
    <xf numFmtId="0" fontId="30" fillId="0" borderId="22" xfId="0" applyFont="1" applyBorder="1" applyAlignment="1">
      <alignment horizontal="left" wrapText="1"/>
    </xf>
    <xf numFmtId="0" fontId="30" fillId="0" borderId="0" xfId="0" applyFont="1" applyAlignment="1">
      <alignment horizontal="left" wrapText="1" indent="2"/>
    </xf>
    <xf numFmtId="0" fontId="30" fillId="0" borderId="22" xfId="0" applyFont="1" applyBorder="1" applyAlignment="1">
      <alignment horizontal="left" wrapText="1" indent="2"/>
    </xf>
    <xf numFmtId="0" fontId="30" fillId="0" borderId="24" xfId="0" applyFont="1" applyBorder="1" applyAlignment="1">
      <alignment horizontal="left" wrapText="1" indent="2"/>
    </xf>
    <xf numFmtId="0" fontId="30" fillId="0" borderId="25" xfId="0" applyFont="1" applyBorder="1" applyAlignment="1">
      <alignment horizontal="left" wrapText="1" indent="2"/>
    </xf>
    <xf numFmtId="0" fontId="30" fillId="0" borderId="0" xfId="0" applyFont="1" applyAlignment="1">
      <alignment horizontal="left" wrapText="1" indent="1"/>
    </xf>
    <xf numFmtId="0" fontId="30" fillId="0" borderId="22" xfId="0" applyFont="1" applyBorder="1" applyAlignment="1">
      <alignment horizontal="left" wrapText="1" indent="1"/>
    </xf>
    <xf numFmtId="0" fontId="28" fillId="0" borderId="21" xfId="0" applyFont="1" applyBorder="1" applyAlignment="1">
      <alignment horizontal="left" vertical="top"/>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30" fillId="0" borderId="31" xfId="0" applyFont="1" applyBorder="1" applyAlignment="1">
      <alignment horizontal="left" wrapText="1"/>
    </xf>
    <xf numFmtId="0" fontId="30" fillId="0" borderId="20" xfId="0" applyFont="1" applyBorder="1" applyAlignment="1">
      <alignment horizontal="left" wrapText="1"/>
    </xf>
    <xf numFmtId="0" fontId="28" fillId="0" borderId="19" xfId="0" applyFont="1" applyBorder="1" applyAlignment="1">
      <alignment horizontal="center" vertical="top"/>
    </xf>
    <xf numFmtId="0" fontId="28" fillId="0" borderId="21" xfId="0" applyFont="1" applyBorder="1" applyAlignment="1">
      <alignment horizontal="center" vertical="top"/>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3" xfId="0" applyFont="1" applyBorder="1" applyAlignment="1">
      <alignment horizontal="center" vertical="top"/>
    </xf>
    <xf numFmtId="0" fontId="28" fillId="0" borderId="21" xfId="0" applyFont="1" applyBorder="1" applyAlignment="1">
      <alignment horizontal="left" vertical="center"/>
    </xf>
    <xf numFmtId="0" fontId="28" fillId="0" borderId="0" xfId="0" applyFont="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25" xfId="0" applyFont="1" applyBorder="1" applyAlignment="1">
      <alignment horizontal="left"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left" vertical="center"/>
    </xf>
    <xf numFmtId="0" fontId="28" fillId="0" borderId="31" xfId="0" applyFont="1" applyBorder="1" applyAlignment="1">
      <alignment horizontal="left" vertical="center"/>
    </xf>
    <xf numFmtId="0" fontId="28" fillId="0" borderId="20" xfId="0" applyFont="1" applyBorder="1" applyAlignment="1">
      <alignment horizontal="left" vertical="center"/>
    </xf>
    <xf numFmtId="0" fontId="30" fillId="0" borderId="31" xfId="0" applyFont="1" applyBorder="1" applyAlignment="1">
      <alignment horizontal="left"/>
    </xf>
    <xf numFmtId="0" fontId="30" fillId="0" borderId="20" xfId="0" applyFont="1" applyBorder="1" applyAlignment="1">
      <alignment horizontal="left"/>
    </xf>
    <xf numFmtId="0" fontId="30" fillId="0" borderId="0" xfId="0" applyFont="1" applyAlignment="1">
      <alignment horizontal="left"/>
    </xf>
    <xf numFmtId="0" fontId="30" fillId="0" borderId="22" xfId="0" applyFont="1" applyBorder="1" applyAlignment="1">
      <alignment horizontal="left"/>
    </xf>
    <xf numFmtId="0" fontId="30" fillId="0" borderId="24" xfId="0" applyFont="1" applyBorder="1" applyAlignment="1">
      <alignment horizontal="left" wrapText="1"/>
    </xf>
    <xf numFmtId="0" fontId="30" fillId="0" borderId="25" xfId="0" applyFont="1" applyBorder="1" applyAlignment="1">
      <alignment horizontal="left" wrapText="1"/>
    </xf>
    <xf numFmtId="0" fontId="30" fillId="0" borderId="21" xfId="0" applyFont="1" applyBorder="1" applyAlignment="1">
      <alignment horizontal="right"/>
    </xf>
    <xf numFmtId="0" fontId="30" fillId="0" borderId="0" xfId="0" applyFont="1" applyAlignment="1">
      <alignment horizontal="right"/>
    </xf>
    <xf numFmtId="0" fontId="28" fillId="0" borderId="86" xfId="0" applyFont="1" applyBorder="1" applyAlignment="1">
      <alignment horizontal="center" vertical="top" wrapText="1"/>
    </xf>
    <xf numFmtId="0" fontId="28" fillId="0" borderId="92" xfId="0" applyFont="1" applyBorder="1" applyAlignment="1">
      <alignment horizontal="center" vertical="top" wrapText="1"/>
    </xf>
    <xf numFmtId="0" fontId="28" fillId="0" borderId="23" xfId="0" applyFont="1" applyBorder="1" applyAlignment="1">
      <alignment horizontal="center" vertical="center"/>
    </xf>
    <xf numFmtId="0" fontId="28" fillId="0" borderId="25" xfId="0" applyFont="1" applyBorder="1" applyAlignment="1">
      <alignment horizontal="center" vertical="center"/>
    </xf>
    <xf numFmtId="165" fontId="1" fillId="0" borderId="0" xfId="0" applyNumberFormat="1" applyFont="1" applyAlignment="1">
      <alignment horizontal="left" vertical="center" wrapText="1" indent="1"/>
    </xf>
    <xf numFmtId="165" fontId="1" fillId="0" borderId="8" xfId="0" applyNumberFormat="1" applyFont="1" applyBorder="1" applyAlignment="1">
      <alignment horizontal="left" vertical="center" wrapText="1" indent="1"/>
    </xf>
    <xf numFmtId="164" fontId="1" fillId="0" borderId="7" xfId="0" applyNumberFormat="1" applyFont="1" applyBorder="1" applyAlignment="1">
      <alignment horizontal="center" vertical="top" wrapText="1"/>
    </xf>
    <xf numFmtId="164" fontId="1" fillId="0" borderId="8" xfId="0" applyNumberFormat="1" applyFont="1" applyBorder="1" applyAlignment="1">
      <alignment horizontal="center" vertical="top" wrapText="1"/>
    </xf>
    <xf numFmtId="0" fontId="4" fillId="0" borderId="62" xfId="0" applyFont="1" applyBorder="1" applyAlignment="1">
      <alignment horizontal="left" vertical="top" wrapText="1" indent="1"/>
    </xf>
    <xf numFmtId="49" fontId="1" fillId="0" borderId="44" xfId="0" applyNumberFormat="1" applyFont="1" applyBorder="1" applyAlignment="1">
      <alignment horizontal="left" vertical="top" wrapText="1" indent="1"/>
    </xf>
    <xf numFmtId="49" fontId="1" fillId="0" borderId="42" xfId="0" applyNumberFormat="1" applyFont="1" applyBorder="1" applyAlignment="1">
      <alignment horizontal="left" vertical="top" wrapText="1" indent="1"/>
    </xf>
    <xf numFmtId="165" fontId="1" fillId="0" borderId="16" xfId="0" applyNumberFormat="1" applyFont="1" applyBorder="1" applyAlignment="1">
      <alignment horizontal="left" vertical="top" wrapText="1" indent="1"/>
    </xf>
    <xf numFmtId="165" fontId="1" fillId="0" borderId="17" xfId="0" applyNumberFormat="1" applyFont="1" applyBorder="1" applyAlignment="1">
      <alignment horizontal="left" vertical="top" wrapText="1" indent="1"/>
    </xf>
    <xf numFmtId="165" fontId="1" fillId="0" borderId="38" xfId="0" applyNumberFormat="1" applyFont="1" applyBorder="1" applyAlignment="1">
      <alignment horizontal="left" vertical="top" wrapText="1" indent="1"/>
    </xf>
    <xf numFmtId="164" fontId="1" fillId="2" borderId="0" xfId="0" applyNumberFormat="1" applyFont="1" applyFill="1" applyAlignment="1">
      <alignment horizontal="left" vertical="center" wrapText="1"/>
    </xf>
    <xf numFmtId="164" fontId="1" fillId="2" borderId="8" xfId="0" applyNumberFormat="1" applyFont="1" applyFill="1" applyBorder="1" applyAlignment="1">
      <alignment horizontal="left" vertic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67" xfId="0" applyFont="1" applyBorder="1" applyAlignment="1">
      <alignment horizontal="center" wrapText="1"/>
    </xf>
    <xf numFmtId="0" fontId="5" fillId="0" borderId="108" xfId="0" applyFont="1" applyBorder="1" applyAlignment="1">
      <alignment horizontal="center" wrapText="1"/>
    </xf>
    <xf numFmtId="0" fontId="31" fillId="0" borderId="80" xfId="0" applyFont="1" applyBorder="1" applyAlignment="1">
      <alignment horizontal="center" vertical="top"/>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165" fontId="1" fillId="0" borderId="4" xfId="0" applyNumberFormat="1" applyFont="1" applyBorder="1" applyAlignment="1">
      <alignment horizontal="left" vertical="center" wrapText="1" indent="1"/>
    </xf>
    <xf numFmtId="165" fontId="1" fillId="0" borderId="5" xfId="0" applyNumberFormat="1" applyFont="1" applyBorder="1" applyAlignment="1">
      <alignment horizontal="left" vertical="center" wrapText="1" indent="1"/>
    </xf>
    <xf numFmtId="165" fontId="1" fillId="0" borderId="6" xfId="0" applyNumberFormat="1" applyFont="1" applyBorder="1" applyAlignment="1">
      <alignment horizontal="left" vertical="center" wrapText="1" indent="1"/>
    </xf>
    <xf numFmtId="0" fontId="31" fillId="0" borderId="83" xfId="0" applyFont="1" applyBorder="1" applyAlignment="1">
      <alignment horizontal="center" vertical="top" wrapText="1"/>
    </xf>
    <xf numFmtId="0" fontId="31" fillId="0" borderId="17" xfId="0" applyFont="1" applyBorder="1" applyAlignment="1">
      <alignment horizontal="center" vertical="top" wrapText="1"/>
    </xf>
    <xf numFmtId="0" fontId="31" fillId="0" borderId="18" xfId="0" applyFont="1" applyBorder="1" applyAlignment="1">
      <alignment horizontal="center" vertical="top" wrapText="1"/>
    </xf>
    <xf numFmtId="0" fontId="28" fillId="0" borderId="87" xfId="0" applyFont="1" applyBorder="1" applyAlignment="1">
      <alignment horizontal="center" vertical="top" wrapText="1"/>
    </xf>
    <xf numFmtId="0" fontId="28" fillId="0" borderId="93" xfId="0" applyFont="1" applyBorder="1" applyAlignment="1">
      <alignment horizontal="center" vertical="top" wrapText="1"/>
    </xf>
    <xf numFmtId="0" fontId="28" fillId="0" borderId="24" xfId="0" applyFont="1" applyBorder="1" applyAlignment="1">
      <alignment horizontal="center" vertical="center"/>
    </xf>
    <xf numFmtId="0" fontId="4" fillId="0" borderId="8" xfId="0" applyFont="1" applyBorder="1" applyAlignment="1">
      <alignment horizontal="center" vertical="top" wrapText="1"/>
    </xf>
    <xf numFmtId="0" fontId="31" fillId="0" borderId="16" xfId="0" applyFont="1" applyBorder="1" applyAlignment="1">
      <alignment horizontal="center" vertical="top"/>
    </xf>
    <xf numFmtId="0" fontId="31" fillId="0" borderId="17" xfId="0" applyFont="1" applyBorder="1" applyAlignment="1">
      <alignment horizontal="center" vertical="top"/>
    </xf>
    <xf numFmtId="0" fontId="31" fillId="0" borderId="79" xfId="0" applyFont="1" applyBorder="1" applyAlignment="1">
      <alignment horizontal="center" vertical="top"/>
    </xf>
    <xf numFmtId="0" fontId="1" fillId="0" borderId="1" xfId="0" applyFont="1" applyBorder="1" applyAlignment="1">
      <alignment horizontal="left" vertical="top" wrapText="1" indent="1"/>
    </xf>
    <xf numFmtId="0" fontId="1" fillId="0" borderId="2" xfId="0" applyFont="1" applyBorder="1" applyAlignment="1">
      <alignment horizontal="left" vertical="top" wrapText="1" indent="1"/>
    </xf>
    <xf numFmtId="0" fontId="1" fillId="0" borderId="3" xfId="0" applyFont="1" applyBorder="1" applyAlignment="1">
      <alignment horizontal="left" vertical="top" wrapText="1" inden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7" fontId="34" fillId="27" borderId="152" xfId="0" applyNumberFormat="1" applyFont="1" applyFill="1" applyBorder="1" applyAlignment="1" applyProtection="1">
      <alignment horizontal="left" vertical="center" wrapText="1"/>
      <protection locked="0"/>
    </xf>
    <xf numFmtId="7" fontId="34" fillId="27" borderId="153" xfId="0" applyNumberFormat="1" applyFont="1" applyFill="1" applyBorder="1" applyAlignment="1" applyProtection="1">
      <alignment horizontal="left" vertical="center" wrapText="1"/>
      <protection locked="0"/>
    </xf>
    <xf numFmtId="7" fontId="34" fillId="27" borderId="101" xfId="0" applyNumberFormat="1" applyFont="1" applyFill="1" applyBorder="1" applyAlignment="1" applyProtection="1">
      <alignment horizontal="left" vertical="center" wrapText="1"/>
      <protection locked="0"/>
    </xf>
    <xf numFmtId="7" fontId="34" fillId="27" borderId="104" xfId="0" applyNumberFormat="1" applyFont="1" applyFill="1" applyBorder="1" applyAlignment="1" applyProtection="1">
      <alignment horizontal="left" vertical="center" wrapText="1"/>
      <protection locked="0"/>
    </xf>
    <xf numFmtId="0" fontId="28" fillId="0" borderId="147" xfId="0" applyFont="1" applyBorder="1" applyAlignment="1">
      <alignment horizontal="center" vertical="top" wrapText="1"/>
    </xf>
    <xf numFmtId="0" fontId="30" fillId="0" borderId="23" xfId="0" applyFont="1" applyBorder="1" applyAlignment="1">
      <alignment horizontal="left" wrapText="1" indent="10"/>
    </xf>
    <xf numFmtId="0" fontId="30" fillId="0" borderId="24" xfId="0" applyFont="1" applyBorder="1" applyAlignment="1">
      <alignment horizontal="left" wrapText="1" indent="10"/>
    </xf>
    <xf numFmtId="0" fontId="30" fillId="0" borderId="25" xfId="0" applyFont="1" applyBorder="1" applyAlignment="1">
      <alignment horizontal="left" wrapText="1" indent="10"/>
    </xf>
    <xf numFmtId="0" fontId="30" fillId="0" borderId="21" xfId="0" applyFont="1" applyBorder="1" applyAlignment="1">
      <alignment horizontal="left" wrapText="1" indent="10"/>
    </xf>
    <xf numFmtId="0" fontId="30" fillId="0" borderId="0" xfId="0" applyFont="1" applyAlignment="1">
      <alignment horizontal="left" wrapText="1" indent="10"/>
    </xf>
    <xf numFmtId="0" fontId="30" fillId="0" borderId="22" xfId="0" applyFont="1" applyBorder="1" applyAlignment="1">
      <alignment horizontal="left" wrapText="1" indent="10"/>
    </xf>
    <xf numFmtId="0" fontId="28" fillId="0" borderId="19" xfId="0" applyFont="1" applyBorder="1" applyAlignment="1">
      <alignment horizontal="left" vertical="top"/>
    </xf>
    <xf numFmtId="0" fontId="30" fillId="0" borderId="21" xfId="0" applyFont="1" applyBorder="1" applyAlignment="1">
      <alignment horizontal="left" vertical="center" wrapText="1" indent="10"/>
    </xf>
    <xf numFmtId="0" fontId="30" fillId="0" borderId="0" xfId="0" applyFont="1" applyAlignment="1">
      <alignment horizontal="left" vertical="center" wrapText="1" indent="10"/>
    </xf>
    <xf numFmtId="0" fontId="30" fillId="0" borderId="22" xfId="0" applyFont="1" applyBorder="1" applyAlignment="1">
      <alignment horizontal="left" vertical="center" wrapText="1" indent="10"/>
    </xf>
    <xf numFmtId="0" fontId="30" fillId="0" borderId="21" xfId="0" applyFont="1" applyBorder="1" applyAlignment="1">
      <alignment horizontal="left" wrapText="1" indent="7"/>
    </xf>
    <xf numFmtId="0" fontId="30" fillId="0" borderId="0" xfId="0" applyFont="1" applyAlignment="1">
      <alignment horizontal="left" wrapText="1" indent="7"/>
    </xf>
    <xf numFmtId="0" fontId="30" fillId="0" borderId="22" xfId="0" applyFont="1" applyBorder="1" applyAlignment="1">
      <alignment horizontal="left" wrapText="1" indent="7"/>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6" fillId="0" borderId="0" xfId="1" applyFill="1" applyBorder="1" applyAlignment="1" applyProtection="1">
      <alignment horizontal="left"/>
    </xf>
    <xf numFmtId="0" fontId="38" fillId="0" borderId="0" xfId="1" applyFont="1" applyFill="1" applyBorder="1" applyAlignment="1" applyProtection="1">
      <alignment horizontal="left"/>
    </xf>
    <xf numFmtId="0" fontId="38" fillId="0" borderId="22" xfId="1" applyFont="1" applyFill="1" applyBorder="1" applyAlignment="1" applyProtection="1">
      <alignment horizontal="left"/>
    </xf>
    <xf numFmtId="0" fontId="28" fillId="0" borderId="88" xfId="0" applyFont="1" applyBorder="1" applyAlignment="1">
      <alignment horizontal="center" vertical="top" wrapText="1"/>
    </xf>
    <xf numFmtId="0" fontId="28" fillId="0" borderId="97" xfId="0" applyFont="1" applyBorder="1" applyAlignment="1">
      <alignment horizontal="center" vertical="top" wrapText="1"/>
    </xf>
    <xf numFmtId="0" fontId="28" fillId="0" borderId="105" xfId="0" applyFont="1" applyBorder="1" applyAlignment="1">
      <alignment horizontal="center" vertical="top" wrapText="1"/>
    </xf>
    <xf numFmtId="0" fontId="28" fillId="0" borderId="100" xfId="0" applyFont="1" applyBorder="1" applyAlignment="1">
      <alignment horizontal="center" vertical="top" wrapText="1"/>
    </xf>
    <xf numFmtId="0" fontId="28" fillId="0" borderId="75" xfId="0" applyFont="1" applyBorder="1" applyAlignment="1">
      <alignment horizontal="center" vertical="top" wrapText="1"/>
    </xf>
    <xf numFmtId="0" fontId="28" fillId="0" borderId="102" xfId="0" applyFont="1" applyBorder="1" applyAlignment="1">
      <alignment horizontal="center" wrapText="1"/>
    </xf>
    <xf numFmtId="0" fontId="28" fillId="0" borderId="76" xfId="0" applyFont="1" applyBorder="1" applyAlignment="1">
      <alignment horizontal="center" wrapText="1"/>
    </xf>
    <xf numFmtId="0" fontId="28" fillId="0" borderId="77" xfId="0" applyFont="1" applyBorder="1" applyAlignment="1">
      <alignment horizontal="center" wrapText="1"/>
    </xf>
    <xf numFmtId="0" fontId="39" fillId="0" borderId="90" xfId="0" applyFont="1" applyBorder="1" applyAlignment="1">
      <alignment horizontal="center" vertical="top" wrapText="1"/>
    </xf>
    <xf numFmtId="0" fontId="39" fillId="0" borderId="84" xfId="0" applyFont="1" applyBorder="1" applyAlignment="1">
      <alignment horizontal="center" vertical="top" wrapText="1"/>
    </xf>
    <xf numFmtId="0" fontId="28" fillId="0" borderId="91" xfId="0" applyFont="1" applyBorder="1" applyAlignment="1">
      <alignment horizontal="center" vertical="top" wrapText="1"/>
    </xf>
    <xf numFmtId="0" fontId="28" fillId="0" borderId="81" xfId="0" applyFont="1" applyBorder="1" applyAlignment="1">
      <alignment horizontal="center" vertical="top" wrapText="1"/>
    </xf>
    <xf numFmtId="0" fontId="28" fillId="0" borderId="89" xfId="0" applyFont="1" applyBorder="1" applyAlignment="1">
      <alignment horizontal="center" vertical="top" wrapText="1"/>
    </xf>
    <xf numFmtId="0" fontId="28" fillId="0" borderId="94" xfId="0" applyFont="1" applyBorder="1" applyAlignment="1">
      <alignment horizontal="center" vertical="top" wrapText="1"/>
    </xf>
    <xf numFmtId="0" fontId="28" fillId="0" borderId="74" xfId="0" applyFont="1" applyBorder="1" applyAlignment="1">
      <alignment horizontal="center" vertical="top" wrapText="1"/>
    </xf>
    <xf numFmtId="0" fontId="28" fillId="0" borderId="103" xfId="0" applyFont="1" applyBorder="1" applyAlignment="1">
      <alignment horizontal="center" vertical="top" wrapText="1"/>
    </xf>
    <xf numFmtId="165" fontId="1" fillId="0" borderId="0" xfId="0" applyNumberFormat="1" applyFont="1" applyAlignment="1">
      <alignment horizontal="left" vertical="top" wrapText="1"/>
    </xf>
    <xf numFmtId="165" fontId="1" fillId="0" borderId="8" xfId="0" applyNumberFormat="1" applyFont="1" applyBorder="1" applyAlignment="1">
      <alignment horizontal="left" vertical="top" wrapText="1"/>
    </xf>
    <xf numFmtId="0" fontId="31" fillId="0" borderId="16" xfId="0"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0" xfId="0" applyNumberFormat="1" applyFont="1" applyAlignment="1">
      <alignment horizontal="center" vertical="top" wrapText="1"/>
    </xf>
    <xf numFmtId="7" fontId="34" fillId="27" borderId="70" xfId="0" applyNumberFormat="1" applyFont="1" applyFill="1" applyBorder="1" applyAlignment="1" applyProtection="1">
      <alignment horizontal="left" vertical="center" wrapText="1"/>
      <protection locked="0"/>
    </xf>
    <xf numFmtId="0" fontId="6" fillId="0" borderId="58" xfId="0" applyFont="1" applyBorder="1" applyAlignment="1">
      <alignment horizontal="center" vertical="top" wrapText="1"/>
    </xf>
    <xf numFmtId="0" fontId="6" fillId="0" borderId="41" xfId="0" applyFont="1" applyBorder="1" applyAlignment="1">
      <alignment horizontal="center" vertical="top" wrapText="1"/>
    </xf>
    <xf numFmtId="0" fontId="7" fillId="0" borderId="59" xfId="0" applyFont="1" applyBorder="1" applyAlignment="1">
      <alignment horizontal="center" wrapText="1"/>
    </xf>
    <xf numFmtId="0" fontId="7" fillId="0" borderId="145" xfId="0" applyFont="1" applyBorder="1" applyAlignment="1">
      <alignment horizontal="center" wrapText="1"/>
    </xf>
    <xf numFmtId="0" fontId="7" fillId="0" borderId="7" xfId="0" applyFont="1" applyBorder="1" applyAlignment="1">
      <alignment horizontal="center" wrapText="1"/>
    </xf>
    <xf numFmtId="0" fontId="7" fillId="0" borderId="0" xfId="0" applyFont="1" applyAlignment="1">
      <alignment horizontal="center" wrapText="1"/>
    </xf>
    <xf numFmtId="0" fontId="7" fillId="0" borderId="8" xfId="0" applyFont="1" applyBorder="1" applyAlignment="1">
      <alignment horizontal="center" wrapText="1"/>
    </xf>
    <xf numFmtId="0" fontId="7" fillId="0" borderId="35" xfId="0" applyFont="1" applyBorder="1" applyAlignment="1">
      <alignment horizontal="center" wrapText="1"/>
    </xf>
    <xf numFmtId="0" fontId="7" fillId="0" borderId="118" xfId="0" applyFont="1" applyBorder="1" applyAlignment="1">
      <alignment horizontal="center" wrapText="1"/>
    </xf>
    <xf numFmtId="0" fontId="7" fillId="0" borderId="36" xfId="0" applyFont="1" applyBorder="1" applyAlignment="1">
      <alignment horizontal="center" wrapText="1"/>
    </xf>
    <xf numFmtId="0" fontId="12" fillId="0" borderId="13" xfId="0" applyFont="1" applyBorder="1" applyAlignment="1">
      <alignment horizontal="center" wrapText="1"/>
    </xf>
    <xf numFmtId="0" fontId="12" fillId="0" borderId="96" xfId="0" applyFont="1" applyBorder="1" applyAlignment="1">
      <alignment horizontal="center" wrapText="1"/>
    </xf>
    <xf numFmtId="0" fontId="7" fillId="0" borderId="58" xfId="0" applyFont="1" applyBorder="1" applyAlignment="1">
      <alignment horizontal="center" wrapText="1"/>
    </xf>
    <xf numFmtId="0" fontId="7" fillId="0" borderId="41" xfId="0" applyFont="1" applyBorder="1" applyAlignment="1">
      <alignment horizontal="center" wrapText="1"/>
    </xf>
    <xf numFmtId="0" fontId="7" fillId="0" borderId="47" xfId="0" applyFont="1" applyBorder="1" applyAlignment="1">
      <alignment horizontal="center" wrapText="1"/>
    </xf>
    <xf numFmtId="165" fontId="4" fillId="0" borderId="16"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0" fontId="4" fillId="0" borderId="42" xfId="0" applyFont="1" applyBorder="1" applyAlignment="1">
      <alignment horizontal="center" vertical="top" wrapText="1"/>
    </xf>
    <xf numFmtId="165" fontId="4" fillId="0" borderId="42" xfId="0" applyNumberFormat="1" applyFont="1" applyBorder="1" applyAlignment="1">
      <alignment horizontal="center" vertical="top" wrapText="1"/>
    </xf>
    <xf numFmtId="165" fontId="4" fillId="0" borderId="0" xfId="0" applyNumberFormat="1" applyFont="1" applyAlignment="1">
      <alignment horizontal="left" vertical="center" wrapText="1"/>
    </xf>
    <xf numFmtId="165" fontId="4" fillId="0" borderId="22" xfId="0" applyNumberFormat="1" applyFont="1" applyBorder="1" applyAlignment="1">
      <alignment horizontal="left" vertical="center" wrapText="1"/>
    </xf>
    <xf numFmtId="165" fontId="4" fillId="0" borderId="118" xfId="0" applyNumberFormat="1" applyFont="1" applyBorder="1" applyAlignment="1">
      <alignment horizontal="left" vertical="center" wrapText="1"/>
    </xf>
    <xf numFmtId="165" fontId="4" fillId="0" borderId="25" xfId="0" applyNumberFormat="1" applyFont="1" applyBorder="1" applyAlignment="1">
      <alignment horizontal="left" vertical="center" wrapText="1"/>
    </xf>
    <xf numFmtId="0" fontId="12" fillId="0" borderId="15"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4" fillId="0" borderId="66" xfId="0" applyFont="1" applyBorder="1" applyAlignment="1">
      <alignment horizontal="center" vertical="top" wrapText="1"/>
    </xf>
    <xf numFmtId="0" fontId="4" fillId="0" borderId="65" xfId="0" applyFont="1" applyBorder="1" applyAlignment="1">
      <alignment horizontal="center" vertical="top" wrapText="1"/>
    </xf>
    <xf numFmtId="0" fontId="0" fillId="0" borderId="63" xfId="0" applyBorder="1" applyAlignment="1">
      <alignment horizontal="center" vertical="top" wrapText="1"/>
    </xf>
    <xf numFmtId="0" fontId="0" fillId="0" borderId="38" xfId="0" applyBorder="1" applyAlignment="1">
      <alignment horizontal="center" vertical="center" wrapText="1"/>
    </xf>
    <xf numFmtId="0" fontId="0" fillId="0" borderId="8" xfId="0" applyBorder="1" applyAlignment="1">
      <alignment horizontal="center" vertical="top" wrapText="1"/>
    </xf>
    <xf numFmtId="164" fontId="2" fillId="2" borderId="8" xfId="0" applyNumberFormat="1" applyFont="1" applyFill="1" applyBorder="1" applyAlignment="1">
      <alignment vertical="center" wrapText="1"/>
    </xf>
    <xf numFmtId="0" fontId="0" fillId="0" borderId="8" xfId="0" applyBorder="1" applyAlignment="1">
      <alignment vertical="center" wrapText="1"/>
    </xf>
    <xf numFmtId="164" fontId="2" fillId="2" borderId="118" xfId="0" applyNumberFormat="1" applyFont="1" applyFill="1" applyBorder="1" applyAlignment="1">
      <alignment vertical="center" wrapText="1"/>
    </xf>
    <xf numFmtId="0" fontId="0" fillId="0" borderId="157" xfId="0" applyBorder="1" applyAlignment="1">
      <alignment vertical="center" wrapText="1"/>
    </xf>
    <xf numFmtId="165" fontId="4" fillId="0" borderId="19" xfId="0" applyNumberFormat="1" applyFont="1" applyBorder="1" applyAlignment="1">
      <alignment horizontal="center" vertical="top" wrapText="1"/>
    </xf>
    <xf numFmtId="165" fontId="4" fillId="0" borderId="31" xfId="0" applyNumberFormat="1" applyFont="1" applyBorder="1" applyAlignment="1">
      <alignment horizontal="center" vertical="top" wrapText="1"/>
    </xf>
    <xf numFmtId="0" fontId="0" fillId="0" borderId="32" xfId="0" applyBorder="1" applyAlignment="1">
      <alignment horizontal="center" vertical="top" wrapText="1"/>
    </xf>
    <xf numFmtId="165" fontId="4" fillId="0" borderId="23" xfId="0" applyNumberFormat="1" applyFont="1" applyBorder="1" applyAlignment="1">
      <alignment horizontal="center" vertical="top" wrapText="1"/>
    </xf>
    <xf numFmtId="165" fontId="4" fillId="0" borderId="118" xfId="0" applyNumberFormat="1" applyFont="1" applyBorder="1" applyAlignment="1">
      <alignment horizontal="center" vertical="top" wrapText="1"/>
    </xf>
    <xf numFmtId="0" fontId="0" fillId="0" borderId="157" xfId="0" applyBorder="1" applyAlignment="1">
      <alignment horizontal="center" vertical="top" wrapText="1"/>
    </xf>
    <xf numFmtId="0" fontId="5" fillId="0" borderId="37" xfId="0" applyFont="1" applyBorder="1" applyAlignment="1">
      <alignment horizontal="center" wrapText="1"/>
    </xf>
    <xf numFmtId="0" fontId="5" fillId="0" borderId="17" xfId="0" applyFont="1" applyBorder="1" applyAlignment="1">
      <alignment horizontal="center" wrapText="1"/>
    </xf>
    <xf numFmtId="0" fontId="0" fillId="0" borderId="38" xfId="0" applyBorder="1" applyAlignment="1">
      <alignment horizontal="center" wrapText="1"/>
    </xf>
    <xf numFmtId="0" fontId="6" fillId="0" borderId="37" xfId="0" applyFont="1" applyBorder="1" applyAlignment="1">
      <alignment horizontal="center"/>
    </xf>
    <xf numFmtId="0" fontId="6" fillId="0" borderId="17" xfId="0" applyFont="1" applyBorder="1" applyAlignment="1">
      <alignment horizontal="center"/>
    </xf>
    <xf numFmtId="0" fontId="0" fillId="0" borderId="38" xfId="0" applyBorder="1" applyAlignment="1">
      <alignment horizontal="center"/>
    </xf>
    <xf numFmtId="44" fontId="6" fillId="0" borderId="16" xfId="0" applyNumberFormat="1" applyFont="1" applyBorder="1" applyAlignment="1">
      <alignment horizontal="center"/>
    </xf>
    <xf numFmtId="44" fontId="6" fillId="0" borderId="17" xfId="0" applyNumberFormat="1" applyFont="1" applyBorder="1" applyAlignment="1">
      <alignment horizontal="center"/>
    </xf>
    <xf numFmtId="44" fontId="6" fillId="0" borderId="45" xfId="0" applyNumberFormat="1" applyFont="1" applyBorder="1" applyAlignment="1">
      <alignment horizontal="center"/>
    </xf>
    <xf numFmtId="0" fontId="0" fillId="0" borderId="39" xfId="0" applyBorder="1" applyAlignment="1">
      <alignment horizontal="center"/>
    </xf>
    <xf numFmtId="0" fontId="0" fillId="0" borderId="11" xfId="0" applyBorder="1" applyAlignment="1">
      <alignment horizontal="center" vertical="top" wrapText="1"/>
    </xf>
    <xf numFmtId="0" fontId="4" fillId="0" borderId="44" xfId="0" applyFont="1" applyBorder="1" applyAlignment="1">
      <alignment horizontal="center" vertical="top" wrapText="1"/>
    </xf>
    <xf numFmtId="49" fontId="4" fillId="0" borderId="44" xfId="0" applyNumberFormat="1" applyFont="1" applyBorder="1" applyAlignment="1">
      <alignment horizontal="center" vertical="top" wrapText="1"/>
    </xf>
    <xf numFmtId="49" fontId="4" fillId="0" borderId="42" xfId="0" applyNumberFormat="1" applyFont="1" applyBorder="1" applyAlignment="1">
      <alignment horizontal="center" vertical="top" wrapText="1"/>
    </xf>
    <xf numFmtId="165" fontId="4" fillId="0" borderId="35" xfId="0" applyNumberFormat="1" applyFont="1" applyBorder="1" applyAlignment="1">
      <alignment horizontal="center" vertical="center" wrapText="1"/>
    </xf>
    <xf numFmtId="165" fontId="4" fillId="0" borderId="118" xfId="0" applyNumberFormat="1" applyFont="1" applyBorder="1" applyAlignment="1">
      <alignment horizontal="center" vertical="center" wrapText="1"/>
    </xf>
    <xf numFmtId="165" fontId="4" fillId="0" borderId="25" xfId="0" applyNumberFormat="1" applyFont="1" applyBorder="1" applyAlignment="1">
      <alignment horizontal="center" vertical="center" wrapText="1"/>
    </xf>
    <xf numFmtId="0" fontId="4" fillId="0" borderId="159" xfId="0" applyFont="1" applyBorder="1" applyAlignment="1">
      <alignment horizontal="center" vertical="top" wrapText="1"/>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49" fontId="4" fillId="31" borderId="97" xfId="0" applyNumberFormat="1" applyFont="1" applyFill="1" applyBorder="1" applyAlignment="1" applyProtection="1">
      <alignment horizontal="center" vertical="center" wrapText="1"/>
      <protection locked="0"/>
    </xf>
    <xf numFmtId="49" fontId="4" fillId="31" borderId="92" xfId="0" applyNumberFormat="1" applyFont="1" applyFill="1" applyBorder="1" applyAlignment="1" applyProtection="1">
      <alignment horizontal="center" vertical="center" wrapText="1"/>
      <protection locked="0"/>
    </xf>
    <xf numFmtId="49" fontId="4" fillId="31" borderId="92" xfId="0" applyNumberFormat="1" applyFont="1" applyFill="1" applyBorder="1" applyAlignment="1" applyProtection="1">
      <alignment horizontal="left" vertical="top" wrapText="1"/>
      <protection locked="0"/>
    </xf>
    <xf numFmtId="49" fontId="4" fillId="31" borderId="93" xfId="0" applyNumberFormat="1" applyFont="1" applyFill="1" applyBorder="1" applyAlignment="1" applyProtection="1">
      <alignment horizontal="left" vertical="top" wrapText="1"/>
      <protection locked="0"/>
    </xf>
    <xf numFmtId="49" fontId="4" fillId="31" borderId="98" xfId="0" applyNumberFormat="1" applyFont="1" applyFill="1" applyBorder="1" applyAlignment="1" applyProtection="1">
      <alignment horizontal="center" vertical="center" wrapText="1"/>
      <protection locked="0"/>
    </xf>
    <xf numFmtId="49" fontId="4" fillId="31" borderId="95" xfId="0" applyNumberFormat="1" applyFont="1" applyFill="1" applyBorder="1" applyAlignment="1" applyProtection="1">
      <alignment horizontal="center" vertical="center" wrapText="1"/>
      <protection locked="0"/>
    </xf>
    <xf numFmtId="49" fontId="4" fillId="31" borderId="95" xfId="0" applyNumberFormat="1" applyFont="1" applyFill="1" applyBorder="1" applyAlignment="1" applyProtection="1">
      <alignment horizontal="left" vertical="top" wrapText="1"/>
      <protection locked="0"/>
    </xf>
    <xf numFmtId="49" fontId="4" fillId="31" borderId="99" xfId="0" applyNumberFormat="1" applyFont="1" applyFill="1" applyBorder="1" applyAlignment="1" applyProtection="1">
      <alignment horizontal="left" vertical="top" wrapText="1"/>
      <protection locked="0"/>
    </xf>
    <xf numFmtId="165" fontId="4" fillId="2" borderId="155" xfId="0" applyNumberFormat="1" applyFont="1" applyFill="1" applyBorder="1" applyAlignment="1">
      <alignment horizontal="center" vertical="center" wrapText="1"/>
    </xf>
    <xf numFmtId="165" fontId="4" fillId="2" borderId="156" xfId="0" applyNumberFormat="1" applyFont="1" applyFill="1" applyBorder="1" applyAlignment="1">
      <alignment horizontal="center" vertical="center" wrapText="1"/>
    </xf>
    <xf numFmtId="0" fontId="12" fillId="0" borderId="86" xfId="0" applyFont="1" applyBorder="1" applyAlignment="1">
      <alignment horizontal="center" vertical="center"/>
    </xf>
    <xf numFmtId="165" fontId="12" fillId="0" borderId="86" xfId="0" applyNumberFormat="1" applyFont="1" applyBorder="1" applyAlignment="1">
      <alignment horizontal="center" vertical="center" wrapText="1"/>
    </xf>
    <xf numFmtId="165" fontId="12" fillId="0" borderId="87"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170" fontId="4" fillId="2" borderId="97" xfId="0" applyNumberFormat="1" applyFont="1" applyFill="1" applyBorder="1" applyAlignment="1">
      <alignment horizontal="center" vertical="center"/>
    </xf>
    <xf numFmtId="170" fontId="4" fillId="2" borderId="93" xfId="0" applyNumberFormat="1" applyFont="1" applyFill="1" applyBorder="1" applyAlignment="1">
      <alignment horizontal="center" vertical="center"/>
    </xf>
    <xf numFmtId="164" fontId="4" fillId="2" borderId="95" xfId="0" applyNumberFormat="1" applyFont="1" applyFill="1" applyBorder="1" applyAlignment="1">
      <alignment horizontal="left" vertical="center" wrapText="1"/>
    </xf>
    <xf numFmtId="164" fontId="4" fillId="2" borderId="99" xfId="0" applyNumberFormat="1" applyFont="1" applyFill="1" applyBorder="1" applyAlignment="1">
      <alignment horizontal="left" vertical="center" wrapText="1"/>
    </xf>
    <xf numFmtId="164" fontId="4" fillId="2" borderId="92" xfId="0" applyNumberFormat="1" applyFont="1" applyFill="1" applyBorder="1" applyAlignment="1">
      <alignment horizontal="left" vertical="center" wrapText="1"/>
    </xf>
    <xf numFmtId="164" fontId="4" fillId="2" borderId="93" xfId="0" applyNumberFormat="1" applyFont="1" applyFill="1" applyBorder="1" applyAlignment="1">
      <alignment horizontal="left"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164" fontId="4" fillId="2" borderId="97" xfId="0" applyNumberFormat="1" applyFont="1" applyFill="1" applyBorder="1" applyAlignment="1">
      <alignment horizontal="center" vertical="center" wrapText="1"/>
    </xf>
    <xf numFmtId="164" fontId="4" fillId="2" borderId="93" xfId="0" applyNumberFormat="1" applyFont="1" applyFill="1" applyBorder="1" applyAlignment="1">
      <alignment horizontal="center" vertical="center" wrapText="1"/>
    </xf>
    <xf numFmtId="165" fontId="4" fillId="2" borderId="95" xfId="0" applyNumberFormat="1" applyFont="1" applyFill="1" applyBorder="1" applyAlignment="1">
      <alignment horizontal="left" vertical="center" wrapText="1"/>
    </xf>
    <xf numFmtId="165" fontId="4" fillId="2" borderId="99" xfId="0" applyNumberFormat="1" applyFont="1" applyFill="1" applyBorder="1" applyAlignment="1">
      <alignment horizontal="left" vertical="center" wrapText="1"/>
    </xf>
    <xf numFmtId="165" fontId="4" fillId="2" borderId="92" xfId="0" applyNumberFormat="1" applyFont="1" applyFill="1" applyBorder="1" applyAlignment="1">
      <alignment horizontal="left" vertical="center" wrapText="1"/>
    </xf>
    <xf numFmtId="165" fontId="4" fillId="2" borderId="93" xfId="0" applyNumberFormat="1" applyFont="1" applyFill="1" applyBorder="1" applyAlignment="1">
      <alignment horizontal="left" vertical="center" wrapText="1"/>
    </xf>
    <xf numFmtId="0" fontId="4" fillId="0" borderId="88" xfId="0" applyFont="1" applyBorder="1" applyAlignment="1">
      <alignment horizontal="center" vertical="center" wrapText="1"/>
    </xf>
    <xf numFmtId="49" fontId="4" fillId="0" borderId="154" xfId="0" applyNumberFormat="1" applyFont="1" applyBorder="1" applyAlignment="1">
      <alignment horizontal="center" vertical="center" wrapText="1"/>
    </xf>
    <xf numFmtId="49" fontId="4" fillId="0" borderId="155" xfId="0" applyNumberFormat="1" applyFont="1" applyBorder="1" applyAlignment="1">
      <alignment horizontal="center" vertical="center" wrapText="1"/>
    </xf>
    <xf numFmtId="0" fontId="12" fillId="0" borderId="88" xfId="0" applyFont="1" applyBorder="1" applyAlignment="1">
      <alignment horizontal="center" vertical="center"/>
    </xf>
    <xf numFmtId="164" fontId="4" fillId="2" borderId="97" xfId="0" applyNumberFormat="1" applyFont="1" applyFill="1" applyBorder="1" applyAlignment="1">
      <alignment horizontal="center" vertical="center"/>
    </xf>
    <xf numFmtId="164" fontId="4" fillId="2" borderId="93" xfId="0" applyNumberFormat="1" applyFont="1" applyFill="1" applyBorder="1" applyAlignment="1">
      <alignment horizontal="center" vertical="center"/>
    </xf>
    <xf numFmtId="0" fontId="4" fillId="0" borderId="88"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165" fontId="4" fillId="2" borderId="97" xfId="0" applyNumberFormat="1" applyFont="1" applyFill="1" applyBorder="1" applyAlignment="1">
      <alignment horizontal="left" vertical="center" wrapText="1"/>
    </xf>
    <xf numFmtId="165" fontId="4" fillId="2" borderId="97" xfId="0" applyNumberFormat="1" applyFont="1" applyFill="1" applyBorder="1" applyAlignment="1">
      <alignment horizontal="center" vertical="center" wrapText="1"/>
    </xf>
    <xf numFmtId="165" fontId="4" fillId="2" borderId="92" xfId="0" applyNumberFormat="1" applyFont="1" applyFill="1" applyBorder="1" applyAlignment="1">
      <alignment horizontal="center" vertical="center" wrapText="1"/>
    </xf>
    <xf numFmtId="165" fontId="4" fillId="2" borderId="93" xfId="0" applyNumberFormat="1" applyFont="1" applyFill="1" applyBorder="1" applyAlignment="1">
      <alignment horizontal="center" vertical="center" wrapText="1"/>
    </xf>
  </cellXfs>
  <cellStyles count="100">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alculation 2 2" xfId="44" xr:uid="{00000000-0005-0000-0000-00001A000000}"/>
    <cellStyle name="Calculation 2 2 2" xfId="75" xr:uid="{00000000-0005-0000-0000-00001B000000}"/>
    <cellStyle name="Calculation 2 3" xfId="49" xr:uid="{00000000-0005-0000-0000-00001C000000}"/>
    <cellStyle name="Calculation 2 3 2" xfId="80" xr:uid="{00000000-0005-0000-0000-00001D000000}"/>
    <cellStyle name="Calculation 2 4" xfId="51" xr:uid="{00000000-0005-0000-0000-00001E000000}"/>
    <cellStyle name="Calculation 2 4 2" xfId="82" xr:uid="{00000000-0005-0000-0000-00001F000000}"/>
    <cellStyle name="Calculation 2 5" xfId="61" xr:uid="{00000000-0005-0000-0000-000020000000}"/>
    <cellStyle name="Calculation 2 5 2" xfId="90" xr:uid="{00000000-0005-0000-0000-000021000000}"/>
    <cellStyle name="Calculation 2 6" xfId="50" xr:uid="{00000000-0005-0000-0000-000022000000}"/>
    <cellStyle name="Calculation 2 6 2" xfId="81" xr:uid="{00000000-0005-0000-0000-000023000000}"/>
    <cellStyle name="Calculation 2 7" xfId="52" xr:uid="{00000000-0005-0000-0000-000024000000}"/>
    <cellStyle name="Check Cell 2" xfId="29" xr:uid="{00000000-0005-0000-0000-000025000000}"/>
    <cellStyle name="Explanatory Text 2" xfId="30" xr:uid="{00000000-0005-0000-0000-000026000000}"/>
    <cellStyle name="Good 2" xfId="31" xr:uid="{00000000-0005-0000-0000-000027000000}"/>
    <cellStyle name="Heading 1 2" xfId="32" xr:uid="{00000000-0005-0000-0000-000028000000}"/>
    <cellStyle name="Heading 2 2" xfId="33" xr:uid="{00000000-0005-0000-0000-000029000000}"/>
    <cellStyle name="Heading 3 2" xfId="34" xr:uid="{00000000-0005-0000-0000-00002A000000}"/>
    <cellStyle name="Heading 4 2" xfId="35" xr:uid="{00000000-0005-0000-0000-00002B000000}"/>
    <cellStyle name="Hyperlink" xfId="1" builtinId="8"/>
    <cellStyle name="Input 2" xfId="36" xr:uid="{00000000-0005-0000-0000-00002D000000}"/>
    <cellStyle name="Input 2 2" xfId="45" xr:uid="{00000000-0005-0000-0000-00002E000000}"/>
    <cellStyle name="Input 2 2 2" xfId="76" xr:uid="{00000000-0005-0000-0000-00002F000000}"/>
    <cellStyle name="Input 2 3" xfId="57" xr:uid="{00000000-0005-0000-0000-000030000000}"/>
    <cellStyle name="Input 2 3 2" xfId="86" xr:uid="{00000000-0005-0000-0000-000031000000}"/>
    <cellStyle name="Input 2 4" xfId="55" xr:uid="{00000000-0005-0000-0000-000032000000}"/>
    <cellStyle name="Input 2 4 2" xfId="84" xr:uid="{00000000-0005-0000-0000-000033000000}"/>
    <cellStyle name="Input 2 5" xfId="63" xr:uid="{00000000-0005-0000-0000-000034000000}"/>
    <cellStyle name="Input 2 5 2" xfId="92" xr:uid="{00000000-0005-0000-0000-000035000000}"/>
    <cellStyle name="Input 2 6" xfId="67" xr:uid="{00000000-0005-0000-0000-000036000000}"/>
    <cellStyle name="Input 2 6 2" xfId="96" xr:uid="{00000000-0005-0000-0000-000037000000}"/>
    <cellStyle name="Input 2 7" xfId="54" xr:uid="{00000000-0005-0000-0000-000038000000}"/>
    <cellStyle name="Linked Cell 2" xfId="37" xr:uid="{00000000-0005-0000-0000-000039000000}"/>
    <cellStyle name="Neutral 2" xfId="38" xr:uid="{00000000-0005-0000-0000-00003A000000}"/>
    <cellStyle name="Normal" xfId="0" builtinId="0"/>
    <cellStyle name="Normal 2" xfId="2" xr:uid="{00000000-0005-0000-0000-00003C000000}"/>
    <cellStyle name="Note" xfId="74" builtinId="10"/>
    <cellStyle name="Note 2" xfId="39" xr:uid="{00000000-0005-0000-0000-00003E000000}"/>
    <cellStyle name="Note 2 2" xfId="46" xr:uid="{00000000-0005-0000-0000-00003F000000}"/>
    <cellStyle name="Note 2 2 2" xfId="77" xr:uid="{00000000-0005-0000-0000-000040000000}"/>
    <cellStyle name="Note 2 3" xfId="58" xr:uid="{00000000-0005-0000-0000-000041000000}"/>
    <cellStyle name="Note 2 3 2" xfId="87" xr:uid="{00000000-0005-0000-0000-000042000000}"/>
    <cellStyle name="Note 2 4" xfId="56" xr:uid="{00000000-0005-0000-0000-000043000000}"/>
    <cellStyle name="Note 2 4 2" xfId="85" xr:uid="{00000000-0005-0000-0000-000044000000}"/>
    <cellStyle name="Note 2 5" xfId="64" xr:uid="{00000000-0005-0000-0000-000045000000}"/>
    <cellStyle name="Note 2 5 2" xfId="93" xr:uid="{00000000-0005-0000-0000-000046000000}"/>
    <cellStyle name="Note 2 6" xfId="68" xr:uid="{00000000-0005-0000-0000-000047000000}"/>
    <cellStyle name="Note 2 6 2" xfId="97" xr:uid="{00000000-0005-0000-0000-000048000000}"/>
    <cellStyle name="Note 2 7" xfId="71" xr:uid="{00000000-0005-0000-0000-000049000000}"/>
    <cellStyle name="Output 2" xfId="40" xr:uid="{00000000-0005-0000-0000-00004A000000}"/>
    <cellStyle name="Output 2 2" xfId="47" xr:uid="{00000000-0005-0000-0000-00004B000000}"/>
    <cellStyle name="Output 2 2 2" xfId="78" xr:uid="{00000000-0005-0000-0000-00004C000000}"/>
    <cellStyle name="Output 2 3" xfId="59" xr:uid="{00000000-0005-0000-0000-00004D000000}"/>
    <cellStyle name="Output 2 3 2" xfId="88" xr:uid="{00000000-0005-0000-0000-00004E000000}"/>
    <cellStyle name="Output 2 4" xfId="53" xr:uid="{00000000-0005-0000-0000-00004F000000}"/>
    <cellStyle name="Output 2 4 2" xfId="83" xr:uid="{00000000-0005-0000-0000-000050000000}"/>
    <cellStyle name="Output 2 5" xfId="65" xr:uid="{00000000-0005-0000-0000-000051000000}"/>
    <cellStyle name="Output 2 5 2" xfId="94" xr:uid="{00000000-0005-0000-0000-000052000000}"/>
    <cellStyle name="Output 2 6" xfId="69" xr:uid="{00000000-0005-0000-0000-000053000000}"/>
    <cellStyle name="Output 2 6 2" xfId="98" xr:uid="{00000000-0005-0000-0000-000054000000}"/>
    <cellStyle name="Output 2 7" xfId="72" xr:uid="{00000000-0005-0000-0000-000055000000}"/>
    <cellStyle name="Title 2" xfId="41" xr:uid="{00000000-0005-0000-0000-000056000000}"/>
    <cellStyle name="Total 2" xfId="42" xr:uid="{00000000-0005-0000-0000-000057000000}"/>
    <cellStyle name="Total 2 2" xfId="48" xr:uid="{00000000-0005-0000-0000-000058000000}"/>
    <cellStyle name="Total 2 2 2" xfId="79" xr:uid="{00000000-0005-0000-0000-000059000000}"/>
    <cellStyle name="Total 2 3" xfId="60" xr:uid="{00000000-0005-0000-0000-00005A000000}"/>
    <cellStyle name="Total 2 3 2" xfId="89" xr:uid="{00000000-0005-0000-0000-00005B000000}"/>
    <cellStyle name="Total 2 4" xfId="62" xr:uid="{00000000-0005-0000-0000-00005C000000}"/>
    <cellStyle name="Total 2 4 2" xfId="91" xr:uid="{00000000-0005-0000-0000-00005D000000}"/>
    <cellStyle name="Total 2 5" xfId="66" xr:uid="{00000000-0005-0000-0000-00005E000000}"/>
    <cellStyle name="Total 2 5 2" xfId="95" xr:uid="{00000000-0005-0000-0000-00005F000000}"/>
    <cellStyle name="Total 2 6" xfId="70" xr:uid="{00000000-0005-0000-0000-000060000000}"/>
    <cellStyle name="Total 2 6 2" xfId="99" xr:uid="{00000000-0005-0000-0000-000061000000}"/>
    <cellStyle name="Total 2 7" xfId="73" xr:uid="{00000000-0005-0000-0000-000062000000}"/>
    <cellStyle name="Warning Text 2" xfId="43" xr:uid="{00000000-0005-0000-0000-000063000000}"/>
  </cellStyles>
  <dxfs count="4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ill>
        <patternFill>
          <bgColor rgb="FFFF0000"/>
        </patternFill>
      </fill>
    </dxf>
    <dxf>
      <font>
        <color rgb="FF9C0006"/>
      </font>
      <fill>
        <patternFill>
          <bgColor rgb="FFFFC7CE"/>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CFFCC"/>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3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3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3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300-00000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300-00000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300-00000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300-00000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300-00000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3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3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300-00000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300-00000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300-00000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5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5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5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5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5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5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5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5000" name="Check Box 8" hidden="1">
              <a:extLst>
                <a:ext uri="{63B3BB69-23CF-44E3-9099-C40C66FF867C}">
                  <a14:compatExt spid="_x0000_s85000"/>
                </a:ext>
                <a:ext uri="{FF2B5EF4-FFF2-40B4-BE49-F238E27FC236}">
                  <a16:creationId xmlns:a16="http://schemas.microsoft.com/office/drawing/2014/main" id="{00000000-0008-0000-0500-00000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5001" name="Check Box 9" hidden="1">
              <a:extLst>
                <a:ext uri="{63B3BB69-23CF-44E3-9099-C40C66FF867C}">
                  <a14:compatExt spid="_x0000_s85001"/>
                </a:ext>
                <a:ext uri="{FF2B5EF4-FFF2-40B4-BE49-F238E27FC236}">
                  <a16:creationId xmlns:a16="http://schemas.microsoft.com/office/drawing/2014/main" id="{00000000-0008-0000-05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5002" name="Check Box 10" hidden="1">
              <a:extLst>
                <a:ext uri="{63B3BB69-23CF-44E3-9099-C40C66FF867C}">
                  <a14:compatExt spid="_x0000_s85002"/>
                </a:ext>
                <a:ext uri="{FF2B5EF4-FFF2-40B4-BE49-F238E27FC236}">
                  <a16:creationId xmlns:a16="http://schemas.microsoft.com/office/drawing/2014/main" id="{00000000-0008-0000-05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5003" name="Check Box 11" hidden="1">
              <a:extLst>
                <a:ext uri="{63B3BB69-23CF-44E3-9099-C40C66FF867C}">
                  <a14:compatExt spid="_x0000_s85003"/>
                </a:ext>
                <a:ext uri="{FF2B5EF4-FFF2-40B4-BE49-F238E27FC236}">
                  <a16:creationId xmlns:a16="http://schemas.microsoft.com/office/drawing/2014/main" id="{00000000-0008-0000-0500-00000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5004" name="Check Box 12" hidden="1">
              <a:extLst>
                <a:ext uri="{63B3BB69-23CF-44E3-9099-C40C66FF867C}">
                  <a14:compatExt spid="_x0000_s85004"/>
                </a:ext>
                <a:ext uri="{FF2B5EF4-FFF2-40B4-BE49-F238E27FC236}">
                  <a16:creationId xmlns:a16="http://schemas.microsoft.com/office/drawing/2014/main" id="{00000000-0008-0000-0500-00000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5005" name="Check Box 13" hidden="1">
              <a:extLst>
                <a:ext uri="{63B3BB69-23CF-44E3-9099-C40C66FF867C}">
                  <a14:compatExt spid="_x0000_s85005"/>
                </a:ext>
                <a:ext uri="{FF2B5EF4-FFF2-40B4-BE49-F238E27FC236}">
                  <a16:creationId xmlns:a16="http://schemas.microsoft.com/office/drawing/2014/main" id="{00000000-0008-0000-0500-00000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6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6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6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600-00000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600-00000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600-00000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600-00000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600-00000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6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6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600-00000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3980" name="Check Box 12" hidden="1">
              <a:extLst>
                <a:ext uri="{63B3BB69-23CF-44E3-9099-C40C66FF867C}">
                  <a14:compatExt spid="_x0000_s83980"/>
                </a:ext>
                <a:ext uri="{FF2B5EF4-FFF2-40B4-BE49-F238E27FC236}">
                  <a16:creationId xmlns:a16="http://schemas.microsoft.com/office/drawing/2014/main" id="{00000000-0008-0000-0600-00000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3981" name="Check Box 13" hidden="1">
              <a:extLst>
                <a:ext uri="{63B3BB69-23CF-44E3-9099-C40C66FF867C}">
                  <a14:compatExt spid="_x0000_s83981"/>
                </a:ext>
                <a:ext uri="{FF2B5EF4-FFF2-40B4-BE49-F238E27FC236}">
                  <a16:creationId xmlns:a16="http://schemas.microsoft.com/office/drawing/2014/main" id="{00000000-0008-0000-0600-00000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7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7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7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7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7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7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7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7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7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7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7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7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7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8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8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8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8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8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8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8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8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8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id="{00000000-0008-0000-08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8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1932" name="Check Box 12" hidden="1">
              <a:extLst>
                <a:ext uri="{63B3BB69-23CF-44E3-9099-C40C66FF867C}">
                  <a14:compatExt spid="_x0000_s81932"/>
                </a:ext>
                <a:ext uri="{FF2B5EF4-FFF2-40B4-BE49-F238E27FC236}">
                  <a16:creationId xmlns:a16="http://schemas.microsoft.com/office/drawing/2014/main" id="{00000000-0008-0000-0800-00000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1933" name="Check Box 13" hidden="1">
              <a:extLst>
                <a:ext uri="{63B3BB69-23CF-44E3-9099-C40C66FF867C}">
                  <a14:compatExt spid="_x0000_s81933"/>
                </a:ext>
                <a:ext uri="{FF2B5EF4-FFF2-40B4-BE49-F238E27FC236}">
                  <a16:creationId xmlns:a16="http://schemas.microsoft.com/office/drawing/2014/main" id="{00000000-0008-0000-0800-00000D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18</xdr:row>
          <xdr:rowOff>0</xdr:rowOff>
        </xdr:from>
        <xdr:to>
          <xdr:col>3</xdr:col>
          <xdr:colOff>565150</xdr:colOff>
          <xdr:row>18</xdr:row>
          <xdr:rowOff>222250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9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Exercise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xdr:row>
          <xdr:rowOff>0</xdr:rowOff>
        </xdr:from>
        <xdr:to>
          <xdr:col>2</xdr:col>
          <xdr:colOff>139700</xdr:colOff>
          <xdr:row>18</xdr:row>
          <xdr:rowOff>222250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9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Transferring/Ambulating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18</xdr:row>
          <xdr:rowOff>12700</xdr:rowOff>
        </xdr:from>
        <xdr:to>
          <xdr:col>5</xdr:col>
          <xdr:colOff>139700</xdr:colOff>
          <xdr:row>18</xdr:row>
          <xdr:rowOff>215900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9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 with feeding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18</xdr:row>
          <xdr:rowOff>12700</xdr:rowOff>
        </xdr:from>
        <xdr:to>
          <xdr:col>6</xdr:col>
          <xdr:colOff>527050</xdr:colOff>
          <xdr:row>18</xdr:row>
          <xdr:rowOff>215900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9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Meal preparation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18</xdr:row>
          <xdr:rowOff>0</xdr:rowOff>
        </xdr:from>
        <xdr:to>
          <xdr:col>7</xdr:col>
          <xdr:colOff>317500</xdr:colOff>
          <xdr:row>18</xdr:row>
          <xdr:rowOff>222250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900-000005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Bathing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18</xdr:row>
          <xdr:rowOff>12700</xdr:rowOff>
        </xdr:from>
        <xdr:to>
          <xdr:col>8</xdr:col>
          <xdr:colOff>584200</xdr:colOff>
          <xdr:row>18</xdr:row>
          <xdr:rowOff>222250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9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Dressing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431800</xdr:colOff>
          <xdr:row>18</xdr:row>
          <xdr:rowOff>254000</xdr:rowOff>
        </xdr:from>
        <xdr:to>
          <xdr:col>4</xdr:col>
          <xdr:colOff>304800</xdr:colOff>
          <xdr:row>18</xdr:row>
          <xdr:rowOff>469900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9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Shaving/Oral 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18</xdr:row>
          <xdr:rowOff>254000</xdr:rowOff>
        </xdr:from>
        <xdr:to>
          <xdr:col>5</xdr:col>
          <xdr:colOff>374650</xdr:colOff>
          <xdr:row>18</xdr:row>
          <xdr:rowOff>469900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9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Toileting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279400</xdr:rowOff>
        </xdr:from>
        <xdr:to>
          <xdr:col>8</xdr:col>
          <xdr:colOff>635000</xdr:colOff>
          <xdr:row>18</xdr:row>
          <xdr:rowOff>469900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9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Assistance with self-administered medications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260350</xdr:rowOff>
        </xdr:from>
        <xdr:to>
          <xdr:col>10</xdr:col>
          <xdr:colOff>495300</xdr:colOff>
          <xdr:row>18</xdr:row>
          <xdr:rowOff>482600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900-00000A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Supervision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482600</xdr:rowOff>
        </xdr:from>
        <xdr:to>
          <xdr:col>2</xdr:col>
          <xdr:colOff>393700</xdr:colOff>
          <xdr:row>18</xdr:row>
          <xdr:rowOff>698500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900-00000B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Additional tasks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488950</xdr:colOff>
          <xdr:row>18</xdr:row>
          <xdr:rowOff>12700</xdr:rowOff>
        </xdr:from>
        <xdr:to>
          <xdr:col>10</xdr:col>
          <xdr:colOff>260350</xdr:colOff>
          <xdr:row>18</xdr:row>
          <xdr:rowOff>228600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900-00000C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Grooming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254000</xdr:rowOff>
        </xdr:from>
        <xdr:to>
          <xdr:col>2</xdr:col>
          <xdr:colOff>381000</xdr:colOff>
          <xdr:row>18</xdr:row>
          <xdr:rowOff>469900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0900-00000D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Routine Hair and Skin Care</a:t>
              </a:r>
            </a:p>
          </xdr:txBody>
        </xdr:sp>
        <xdr:clientData/>
      </xdr:twoCellAnchor>
    </mc:Choice>
    <mc:Fallback/>
  </mc:AlternateContent>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758800B-7CF2-44A9-9457-2639A59064F9}">
  <header guid="{4758800B-7CF2-44A9-9457-2639A59064F9}" dateTime="2024-02-07T09:16:45" maxSheetId="21" userName="Nelson,Rose M (HHSC)"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758800B-7CF2-44A9-9457-2639A59064F9}" name="Nelson,Rose M (HHSC)" id="-2123057451" dateTime="2024-02-07T09:16:4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3" Type="http://schemas.openxmlformats.org/officeDocument/2006/relationships/printerSettings" Target="../printerSettings/printerSettings30.bin"/><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 Type="http://schemas.openxmlformats.org/officeDocument/2006/relationships/printerSettings" Target="../printerSettings/printerSettings29.bin"/><Relationship Id="rId16" Type="http://schemas.openxmlformats.org/officeDocument/2006/relationships/ctrlProp" Target="../ctrlProps/ctrlProp102.xml"/><Relationship Id="rId1" Type="http://schemas.openxmlformats.org/officeDocument/2006/relationships/printerSettings" Target="../printerSettings/printerSettings28.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vmlDrawing" Target="../drawings/vmlDrawing8.vml"/><Relationship Id="rId15" Type="http://schemas.openxmlformats.org/officeDocument/2006/relationships/ctrlProp" Target="../ctrlProps/ctrlProp101.xml"/><Relationship Id="rId10" Type="http://schemas.openxmlformats.org/officeDocument/2006/relationships/ctrlProp" Target="../ctrlProps/ctrlProp96.xml"/><Relationship Id="rId4" Type="http://schemas.openxmlformats.org/officeDocument/2006/relationships/drawing" Target="../drawings/drawing8.xml"/><Relationship Id="rId9" Type="http://schemas.openxmlformats.org/officeDocument/2006/relationships/ctrlProp" Target="../ctrlProps/ctrlProp95.xml"/><Relationship Id="rId14" Type="http://schemas.openxmlformats.org/officeDocument/2006/relationships/ctrlProp" Target="../ctrlProps/ctrlProp10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dads.state.tx.us/handbooks/cba/4000/4000.htm" TargetMode="Externa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9.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8.bin"/><Relationship Id="rId16" Type="http://schemas.openxmlformats.org/officeDocument/2006/relationships/ctrlProp" Target="../ctrlProps/ctrlProp11.xml"/><Relationship Id="rId1" Type="http://schemas.openxmlformats.org/officeDocument/2006/relationships/printerSettings" Target="../printerSettings/printerSettings7.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printerSettings" Target="../printerSettings/printerSettings12.bin"/><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printerSettings" Target="../printerSettings/printerSettings11.bin"/><Relationship Id="rId16" Type="http://schemas.openxmlformats.org/officeDocument/2006/relationships/ctrlProp" Target="../ctrlProps/ctrlProp24.xml"/><Relationship Id="rId1" Type="http://schemas.openxmlformats.org/officeDocument/2006/relationships/printerSettings" Target="../printerSettings/printerSettings10.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15.bin"/><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printerSettings" Target="../printerSettings/printerSettings14.bin"/><Relationship Id="rId16" Type="http://schemas.openxmlformats.org/officeDocument/2006/relationships/ctrlProp" Target="../ctrlProps/ctrlProp37.xml"/><Relationship Id="rId1" Type="http://schemas.openxmlformats.org/officeDocument/2006/relationships/printerSettings" Target="../printerSettings/printerSettings1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3.v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drawing" Target="../drawings/drawing3.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printerSettings" Target="../printerSettings/printerSettings18.bin"/><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printerSettings" Target="../printerSettings/printerSettings17.bin"/><Relationship Id="rId16" Type="http://schemas.openxmlformats.org/officeDocument/2006/relationships/ctrlProp" Target="../ctrlProps/ctrlProp50.xml"/><Relationship Id="rId1" Type="http://schemas.openxmlformats.org/officeDocument/2006/relationships/printerSettings" Target="../printerSettings/printerSettings16.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vmlDrawing" Target="../drawings/vmlDrawing4.vml"/><Relationship Id="rId15" Type="http://schemas.openxmlformats.org/officeDocument/2006/relationships/ctrlProp" Target="../ctrlProps/ctrlProp49.xml"/><Relationship Id="rId10" Type="http://schemas.openxmlformats.org/officeDocument/2006/relationships/ctrlProp" Target="../ctrlProps/ctrlProp44.xml"/><Relationship Id="rId4" Type="http://schemas.openxmlformats.org/officeDocument/2006/relationships/drawing" Target="../drawings/drawing4.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printerSettings" Target="../printerSettings/printerSettings21.bin"/><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 Type="http://schemas.openxmlformats.org/officeDocument/2006/relationships/printerSettings" Target="../printerSettings/printerSettings20.bin"/><Relationship Id="rId16" Type="http://schemas.openxmlformats.org/officeDocument/2006/relationships/ctrlProp" Target="../ctrlProps/ctrlProp63.xml"/><Relationship Id="rId1" Type="http://schemas.openxmlformats.org/officeDocument/2006/relationships/printerSettings" Target="../printerSettings/printerSettings19.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vmlDrawing" Target="../drawings/vmlDrawing5.v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drawing" Target="../drawings/drawing5.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printerSettings" Target="../printerSettings/printerSettings24.bin"/><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printerSettings" Target="../printerSettings/printerSettings23.bin"/><Relationship Id="rId16" Type="http://schemas.openxmlformats.org/officeDocument/2006/relationships/ctrlProp" Target="../ctrlProps/ctrlProp76.xml"/><Relationship Id="rId1" Type="http://schemas.openxmlformats.org/officeDocument/2006/relationships/printerSettings" Target="../printerSettings/printerSettings22.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vmlDrawing" Target="../drawings/vmlDrawing6.vml"/><Relationship Id="rId15" Type="http://schemas.openxmlformats.org/officeDocument/2006/relationships/ctrlProp" Target="../ctrlProps/ctrlProp75.xml"/><Relationship Id="rId10" Type="http://schemas.openxmlformats.org/officeDocument/2006/relationships/ctrlProp" Target="../ctrlProps/ctrlProp70.xml"/><Relationship Id="rId4" Type="http://schemas.openxmlformats.org/officeDocument/2006/relationships/drawing" Target="../drawings/drawing6.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printerSettings" Target="../printerSettings/printerSettings27.bin"/><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printerSettings" Target="../printerSettings/printerSettings26.bin"/><Relationship Id="rId16" Type="http://schemas.openxmlformats.org/officeDocument/2006/relationships/ctrlProp" Target="../ctrlProps/ctrlProp89.xml"/><Relationship Id="rId1" Type="http://schemas.openxmlformats.org/officeDocument/2006/relationships/printerSettings" Target="../printerSettings/printerSettings25.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vmlDrawing" Target="../drawings/vmlDrawing7.v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drawing" Target="../drawings/drawing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ET1153"/>
  <sheetViews>
    <sheetView zoomScaleNormal="100" workbookViewId="0">
      <selection activeCell="B7" sqref="B7"/>
    </sheetView>
  </sheetViews>
  <sheetFormatPr defaultRowHeight="14.5"/>
  <cols>
    <col min="1" max="1" width="31.81640625" bestFit="1" customWidth="1"/>
    <col min="2" max="2" width="16.1796875" bestFit="1" customWidth="1"/>
    <col min="3" max="3" width="15.453125" bestFit="1" customWidth="1"/>
    <col min="4" max="4" width="24" bestFit="1" customWidth="1"/>
    <col min="5" max="5" width="15.1796875" bestFit="1" customWidth="1"/>
    <col min="6" max="6" width="25.1796875" bestFit="1" customWidth="1"/>
    <col min="7" max="9" width="11.453125" bestFit="1" customWidth="1"/>
    <col min="10" max="11" width="11.1796875" bestFit="1" customWidth="1"/>
    <col min="12" max="12" width="10.81640625" bestFit="1" customWidth="1"/>
    <col min="14" max="14" width="10.81640625" bestFit="1" customWidth="1"/>
    <col min="15" max="15" width="11.1796875" bestFit="1" customWidth="1"/>
    <col min="16" max="16" width="10.81640625" bestFit="1" customWidth="1"/>
    <col min="17" max="17" width="8.81640625" bestFit="1" customWidth="1"/>
    <col min="18" max="18" width="10.81640625" bestFit="1" customWidth="1"/>
    <col min="19" max="19" width="8.81640625" bestFit="1" customWidth="1"/>
    <col min="20" max="20" width="11.453125" bestFit="1" customWidth="1"/>
    <col min="21" max="23" width="10.81640625" bestFit="1" customWidth="1"/>
    <col min="24" max="24" width="10.54296875" bestFit="1" customWidth="1"/>
    <col min="25" max="25" width="10.81640625" bestFit="1" customWidth="1"/>
    <col min="26" max="30" width="8.81640625" bestFit="1" customWidth="1"/>
    <col min="31" max="31" width="9.1796875" bestFit="1" customWidth="1"/>
    <col min="32" max="32" width="9" bestFit="1" customWidth="1"/>
    <col min="33" max="41" width="8.81640625" bestFit="1" customWidth="1"/>
    <col min="42" max="42" width="10.1796875" bestFit="1" customWidth="1"/>
    <col min="43" max="43" width="10.453125" bestFit="1" customWidth="1"/>
    <col min="44" max="44" width="10.81640625" bestFit="1" customWidth="1"/>
    <col min="45" max="45" width="8.81640625" bestFit="1" customWidth="1"/>
    <col min="46" max="46" width="10.81640625" bestFit="1" customWidth="1"/>
    <col min="47" max="47" width="10.453125" bestFit="1" customWidth="1"/>
    <col min="48" max="49" width="10.81640625" bestFit="1" customWidth="1"/>
    <col min="50" max="50" width="10.1796875" bestFit="1" customWidth="1"/>
    <col min="51" max="51" width="10.453125" bestFit="1" customWidth="1"/>
    <col min="52" max="52" width="10.81640625" bestFit="1" customWidth="1"/>
    <col min="53" max="54" width="8.81640625" bestFit="1" customWidth="1"/>
    <col min="55" max="56" width="9.1796875" bestFit="1" customWidth="1"/>
    <col min="57" max="57" width="8.81640625" bestFit="1" customWidth="1"/>
    <col min="58" max="58" width="9.1796875" bestFit="1" customWidth="1"/>
    <col min="59" max="60" width="8.81640625" bestFit="1" customWidth="1"/>
    <col min="61" max="61" width="10" bestFit="1" customWidth="1"/>
    <col min="62" max="62" width="10.453125" bestFit="1" customWidth="1"/>
    <col min="63" max="63" width="10.81640625" bestFit="1" customWidth="1"/>
    <col min="64" max="64" width="10.1796875" bestFit="1" customWidth="1"/>
    <col min="65" max="65" width="10.81640625" bestFit="1" customWidth="1"/>
    <col min="66" max="66" width="9" bestFit="1" customWidth="1"/>
    <col min="67" max="67" width="10.453125" bestFit="1" customWidth="1"/>
    <col min="68" max="68" width="10.1796875" bestFit="1" customWidth="1"/>
    <col min="69" max="69" width="10.81640625" bestFit="1" customWidth="1"/>
    <col min="70" max="70" width="10.54296875" bestFit="1" customWidth="1"/>
    <col min="71" max="71" width="10.81640625" bestFit="1" customWidth="1"/>
    <col min="72" max="72" width="9" bestFit="1" customWidth="1"/>
    <col min="73" max="73" width="9.1796875" bestFit="1" customWidth="1"/>
    <col min="74" max="74" width="9" bestFit="1" customWidth="1"/>
    <col min="75" max="75" width="10.453125" bestFit="1" customWidth="1"/>
    <col min="76" max="76" width="9" bestFit="1" customWidth="1"/>
    <col min="77" max="77" width="9.1796875" bestFit="1" customWidth="1"/>
    <col min="78" max="78" width="10.54296875" bestFit="1" customWidth="1"/>
    <col min="79" max="79" width="9.453125" bestFit="1" customWidth="1"/>
    <col min="80" max="80" width="10.1796875" bestFit="1" customWidth="1"/>
    <col min="81" max="82" width="8.81640625" bestFit="1" customWidth="1"/>
    <col min="83" max="83" width="9.1796875" bestFit="1" customWidth="1"/>
    <col min="84" max="84" width="9" bestFit="1" customWidth="1"/>
    <col min="85" max="85" width="10.81640625" bestFit="1" customWidth="1"/>
    <col min="86" max="86" width="9.81640625" bestFit="1" customWidth="1"/>
    <col min="87" max="87" width="10.81640625" bestFit="1" customWidth="1"/>
    <col min="88" max="89" width="10.1796875" bestFit="1" customWidth="1"/>
    <col min="90" max="93" width="10.81640625" bestFit="1" customWidth="1"/>
    <col min="94" max="94" width="9.1796875" bestFit="1" customWidth="1"/>
    <col min="95" max="95" width="10.81640625" bestFit="1" customWidth="1"/>
    <col min="96" max="96" width="9" bestFit="1" customWidth="1"/>
    <col min="97" max="97" width="10.81640625" bestFit="1" customWidth="1"/>
    <col min="98" max="98" width="9" bestFit="1" customWidth="1"/>
    <col min="99" max="104" width="10.81640625" bestFit="1" customWidth="1"/>
    <col min="105" max="106" width="8.81640625" bestFit="1" customWidth="1"/>
    <col min="107" max="107" width="9.1796875" bestFit="1" customWidth="1"/>
    <col min="108" max="109" width="8.81640625" bestFit="1" customWidth="1"/>
    <col min="110" max="111" width="9" bestFit="1" customWidth="1"/>
    <col min="112" max="112" width="8.81640625" bestFit="1" customWidth="1"/>
    <col min="113" max="114" width="9" bestFit="1" customWidth="1"/>
    <col min="115" max="115" width="8.81640625" bestFit="1" customWidth="1"/>
    <col min="116" max="117" width="9" bestFit="1" customWidth="1"/>
    <col min="118" max="118" width="8.81640625" bestFit="1" customWidth="1"/>
    <col min="119" max="120" width="9" bestFit="1" customWidth="1"/>
    <col min="121" max="121" width="8.81640625" bestFit="1" customWidth="1"/>
    <col min="122" max="123" width="9" bestFit="1" customWidth="1"/>
    <col min="124" max="124" width="8.81640625" bestFit="1" customWidth="1"/>
    <col min="125" max="127" width="9" bestFit="1" customWidth="1"/>
    <col min="128" max="129" width="8.81640625" bestFit="1" customWidth="1"/>
    <col min="130" max="131" width="9" bestFit="1" customWidth="1"/>
    <col min="132" max="132" width="8.81640625" bestFit="1" customWidth="1"/>
    <col min="133" max="134" width="9" bestFit="1" customWidth="1"/>
    <col min="135" max="135" width="8.81640625" bestFit="1" customWidth="1"/>
    <col min="136" max="137" width="9" bestFit="1" customWidth="1"/>
    <col min="138" max="138" width="8.81640625" bestFit="1" customWidth="1"/>
    <col min="139" max="141" width="9" bestFit="1" customWidth="1"/>
    <col min="142" max="143" width="8.81640625" bestFit="1" customWidth="1"/>
    <col min="144" max="144" width="10.81640625" bestFit="1" customWidth="1"/>
  </cols>
  <sheetData>
    <row r="1" spans="1:150" ht="15" thickBot="1">
      <c r="A1" t="s">
        <v>900</v>
      </c>
      <c r="D1" t="str">
        <f ca="1">CONCATENATE("V",CELL("contents",B3))</f>
        <v>V6.0.3</v>
      </c>
    </row>
    <row r="2" spans="1:150" ht="29">
      <c r="A2" s="96" t="s">
        <v>568</v>
      </c>
      <c r="B2" s="97" t="s">
        <v>569</v>
      </c>
      <c r="C2" s="98" t="s">
        <v>570</v>
      </c>
    </row>
    <row r="3" spans="1:150" ht="15" thickBot="1">
      <c r="A3" s="154" t="s">
        <v>571</v>
      </c>
      <c r="B3" s="155" t="s">
        <v>1149</v>
      </c>
      <c r="C3" s="100">
        <f>IF(DateOfEntrance=DATE(1900,1,0), DATE(1900,1,1), DateOfEntrance)</f>
        <v>1</v>
      </c>
    </row>
    <row r="5" spans="1:150" ht="15" thickBot="1">
      <c r="A5" t="s">
        <v>901</v>
      </c>
    </row>
    <row r="6" spans="1:150">
      <c r="A6" s="96" t="s">
        <v>572</v>
      </c>
      <c r="B6" s="98" t="s">
        <v>573</v>
      </c>
    </row>
    <row r="7" spans="1:150">
      <c r="A7" s="158" t="s">
        <v>402</v>
      </c>
      <c r="B7" s="164" t="str">
        <f>IF(CCADAFCcontractNumber = 0, "", CCADAFCcontractNumber)</f>
        <v/>
      </c>
    </row>
    <row r="8" spans="1:150">
      <c r="A8" s="158" t="s">
        <v>403</v>
      </c>
      <c r="B8" s="164"/>
    </row>
    <row r="9" spans="1:150" ht="15" thickBot="1">
      <c r="A9" s="154" t="s">
        <v>69</v>
      </c>
      <c r="B9" s="165"/>
    </row>
    <row r="11" spans="1:150" ht="15" thickBot="1">
      <c r="A11" t="s">
        <v>923</v>
      </c>
    </row>
    <row r="12" spans="1:150" s="74" customFormat="1" ht="43.5">
      <c r="A12" s="101" t="s">
        <v>574</v>
      </c>
      <c r="B12" s="102" t="s">
        <v>575</v>
      </c>
      <c r="C12" s="102" t="s">
        <v>576</v>
      </c>
      <c r="D12" s="102" t="s">
        <v>577</v>
      </c>
      <c r="E12" s="102" t="s">
        <v>578</v>
      </c>
      <c r="F12" s="102" t="s">
        <v>579</v>
      </c>
      <c r="G12" s="102" t="s">
        <v>899</v>
      </c>
      <c r="H12" s="221" t="s">
        <v>986</v>
      </c>
      <c r="I12" s="221" t="s">
        <v>987</v>
      </c>
      <c r="J12" s="102" t="s">
        <v>637</v>
      </c>
      <c r="K12" s="211" t="s">
        <v>638</v>
      </c>
      <c r="L12" s="211" t="s">
        <v>639</v>
      </c>
      <c r="M12" s="102" t="s">
        <v>640</v>
      </c>
      <c r="N12" s="211" t="s">
        <v>641</v>
      </c>
      <c r="O12" s="211" t="s">
        <v>642</v>
      </c>
      <c r="P12" s="102" t="s">
        <v>582</v>
      </c>
      <c r="Q12" s="102" t="s">
        <v>1144</v>
      </c>
      <c r="R12" s="102" t="s">
        <v>1124</v>
      </c>
      <c r="S12" s="102" t="s">
        <v>1126</v>
      </c>
      <c r="T12" s="102" t="s">
        <v>1125</v>
      </c>
      <c r="U12" s="102" t="s">
        <v>1127</v>
      </c>
      <c r="V12" s="102" t="s">
        <v>583</v>
      </c>
      <c r="W12" s="102" t="s">
        <v>1145</v>
      </c>
      <c r="X12" s="102" t="s">
        <v>1143</v>
      </c>
      <c r="Y12" s="102" t="s">
        <v>1146</v>
      </c>
      <c r="Z12" s="102" t="s">
        <v>584</v>
      </c>
      <c r="AA12" s="102" t="s">
        <v>585</v>
      </c>
      <c r="AB12" s="102" t="s">
        <v>586</v>
      </c>
      <c r="AC12" s="102" t="s">
        <v>907</v>
      </c>
      <c r="AD12" s="102" t="s">
        <v>908</v>
      </c>
      <c r="AE12" s="102" t="s">
        <v>909</v>
      </c>
      <c r="AF12" s="102" t="s">
        <v>910</v>
      </c>
      <c r="AG12" s="102" t="s">
        <v>911</v>
      </c>
      <c r="AH12" s="102" t="s">
        <v>912</v>
      </c>
      <c r="AI12" s="102" t="s">
        <v>913</v>
      </c>
      <c r="AJ12" s="102" t="s">
        <v>914</v>
      </c>
      <c r="AK12" s="102" t="s">
        <v>587</v>
      </c>
      <c r="AL12" s="102" t="s">
        <v>588</v>
      </c>
      <c r="AM12" s="102" t="s">
        <v>589</v>
      </c>
      <c r="AN12" s="102" t="s">
        <v>915</v>
      </c>
      <c r="AO12" s="102" t="s">
        <v>916</v>
      </c>
      <c r="AP12" s="102" t="s">
        <v>917</v>
      </c>
      <c r="AQ12" s="102" t="s">
        <v>918</v>
      </c>
      <c r="AR12" s="102" t="s">
        <v>919</v>
      </c>
      <c r="AS12" s="102" t="s">
        <v>920</v>
      </c>
      <c r="AT12" s="102" t="s">
        <v>921</v>
      </c>
      <c r="AU12" s="102" t="s">
        <v>922</v>
      </c>
      <c r="AV12" s="102" t="s">
        <v>590</v>
      </c>
      <c r="AW12" s="102" t="s">
        <v>591</v>
      </c>
      <c r="AX12" s="102" t="s">
        <v>592</v>
      </c>
      <c r="AY12" s="102" t="s">
        <v>593</v>
      </c>
      <c r="AZ12" s="102" t="s">
        <v>594</v>
      </c>
      <c r="BA12" s="102" t="s">
        <v>595</v>
      </c>
      <c r="BB12" s="102" t="s">
        <v>643</v>
      </c>
      <c r="BC12" s="102" t="s">
        <v>644</v>
      </c>
      <c r="BD12" s="102" t="s">
        <v>645</v>
      </c>
      <c r="BE12" s="102" t="s">
        <v>646</v>
      </c>
      <c r="BF12" s="102" t="s">
        <v>647</v>
      </c>
      <c r="BG12" s="102" t="s">
        <v>596</v>
      </c>
      <c r="BH12" s="102" t="s">
        <v>597</v>
      </c>
      <c r="BI12" s="102" t="s">
        <v>598</v>
      </c>
      <c r="BJ12" s="102" t="s">
        <v>599</v>
      </c>
      <c r="BK12" s="102" t="s">
        <v>600</v>
      </c>
      <c r="BL12" s="102" t="s">
        <v>601</v>
      </c>
      <c r="BM12" s="102" t="s">
        <v>602</v>
      </c>
      <c r="BN12" s="102" t="s">
        <v>603</v>
      </c>
      <c r="BO12" s="102" t="s">
        <v>604</v>
      </c>
      <c r="BP12" s="102" t="s">
        <v>649</v>
      </c>
      <c r="BQ12" s="102" t="s">
        <v>675</v>
      </c>
      <c r="BR12" s="102" t="s">
        <v>653</v>
      </c>
      <c r="BS12" s="102" t="s">
        <v>654</v>
      </c>
      <c r="BT12" s="102" t="s">
        <v>655</v>
      </c>
      <c r="BU12" s="102" t="s">
        <v>656</v>
      </c>
      <c r="BV12" s="102" t="s">
        <v>657</v>
      </c>
      <c r="BW12" s="102" t="s">
        <v>658</v>
      </c>
      <c r="BX12" s="102" t="s">
        <v>659</v>
      </c>
      <c r="BY12" s="102" t="s">
        <v>660</v>
      </c>
      <c r="BZ12" s="102" t="s">
        <v>661</v>
      </c>
      <c r="CA12" s="102" t="s">
        <v>662</v>
      </c>
      <c r="CB12" s="102" t="s">
        <v>663</v>
      </c>
      <c r="CC12" s="102" t="s">
        <v>664</v>
      </c>
      <c r="CD12" s="102" t="s">
        <v>665</v>
      </c>
      <c r="CE12" s="102" t="s">
        <v>666</v>
      </c>
      <c r="CF12" s="102" t="s">
        <v>667</v>
      </c>
      <c r="CG12" s="102" t="s">
        <v>668</v>
      </c>
      <c r="CH12" s="102" t="s">
        <v>669</v>
      </c>
      <c r="CI12" s="102" t="s">
        <v>670</v>
      </c>
      <c r="CJ12" s="102" t="s">
        <v>648</v>
      </c>
      <c r="CK12" s="102" t="s">
        <v>605</v>
      </c>
      <c r="CL12" s="102" t="s">
        <v>606</v>
      </c>
      <c r="CM12" s="102" t="s">
        <v>607</v>
      </c>
      <c r="CN12" s="102" t="s">
        <v>650</v>
      </c>
      <c r="CO12" s="102" t="s">
        <v>651</v>
      </c>
      <c r="CP12" s="102" t="s">
        <v>608</v>
      </c>
      <c r="CQ12" s="102" t="s">
        <v>671</v>
      </c>
      <c r="CR12" s="102" t="s">
        <v>672</v>
      </c>
      <c r="CS12" s="102" t="s">
        <v>673</v>
      </c>
      <c r="CT12" s="102" t="s">
        <v>674</v>
      </c>
      <c r="CU12" s="102" t="s">
        <v>676</v>
      </c>
      <c r="CV12" s="102" t="s">
        <v>677</v>
      </c>
      <c r="CW12" s="102" t="s">
        <v>678</v>
      </c>
      <c r="CX12" s="102" t="s">
        <v>679</v>
      </c>
      <c r="CY12" s="102" t="s">
        <v>680</v>
      </c>
      <c r="CZ12" s="102" t="s">
        <v>681</v>
      </c>
      <c r="DA12" s="102" t="s">
        <v>684</v>
      </c>
      <c r="DB12" s="102" t="s">
        <v>682</v>
      </c>
      <c r="DC12" s="102" t="s">
        <v>683</v>
      </c>
      <c r="DD12" s="102" t="s">
        <v>685</v>
      </c>
      <c r="DE12" s="102" t="s">
        <v>686</v>
      </c>
      <c r="DF12" s="102" t="s">
        <v>687</v>
      </c>
      <c r="DG12" s="102" t="s">
        <v>688</v>
      </c>
      <c r="DH12" s="102" t="s">
        <v>652</v>
      </c>
      <c r="DI12" s="102" t="s">
        <v>609</v>
      </c>
      <c r="DJ12" s="102" t="s">
        <v>610</v>
      </c>
      <c r="DK12" s="102" t="s">
        <v>611</v>
      </c>
      <c r="DL12" s="102" t="s">
        <v>612</v>
      </c>
      <c r="DM12" s="102" t="s">
        <v>613</v>
      </c>
      <c r="DN12" s="102" t="s">
        <v>614</v>
      </c>
      <c r="DO12" s="102" t="s">
        <v>615</v>
      </c>
      <c r="DP12" s="102" t="s">
        <v>616</v>
      </c>
      <c r="DQ12" s="102" t="s">
        <v>617</v>
      </c>
      <c r="DR12" s="102" t="s">
        <v>618</v>
      </c>
      <c r="DS12" s="102" t="s">
        <v>619</v>
      </c>
      <c r="DT12" s="102" t="s">
        <v>620</v>
      </c>
      <c r="DU12" s="102" t="s">
        <v>689</v>
      </c>
      <c r="DV12" s="102" t="s">
        <v>690</v>
      </c>
      <c r="DW12" s="102" t="s">
        <v>691</v>
      </c>
      <c r="DX12" s="102" t="s">
        <v>692</v>
      </c>
      <c r="DY12" s="102" t="s">
        <v>693</v>
      </c>
      <c r="DZ12" s="102" t="s">
        <v>694</v>
      </c>
      <c r="EA12" s="102" t="s">
        <v>695</v>
      </c>
      <c r="EB12" s="102" t="s">
        <v>696</v>
      </c>
      <c r="EC12" s="102" t="s">
        <v>697</v>
      </c>
      <c r="ED12" s="102" t="s">
        <v>621</v>
      </c>
      <c r="EE12" s="102" t="s">
        <v>622</v>
      </c>
      <c r="EF12" s="102" t="s">
        <v>623</v>
      </c>
      <c r="EG12" s="102" t="s">
        <v>624</v>
      </c>
      <c r="EH12" s="102" t="s">
        <v>625</v>
      </c>
      <c r="EI12" s="102" t="s">
        <v>626</v>
      </c>
      <c r="EJ12" s="102" t="s">
        <v>627</v>
      </c>
      <c r="EK12" s="102" t="s">
        <v>628</v>
      </c>
      <c r="EL12" s="102" t="s">
        <v>629</v>
      </c>
      <c r="EM12" s="102" t="s">
        <v>630</v>
      </c>
      <c r="EN12" s="102" t="s">
        <v>631</v>
      </c>
      <c r="EO12" s="102" t="s">
        <v>632</v>
      </c>
      <c r="EP12" s="102" t="s">
        <v>633</v>
      </c>
      <c r="EQ12" s="102" t="s">
        <v>634</v>
      </c>
      <c r="ER12" s="102" t="s">
        <v>635</v>
      </c>
      <c r="ES12" s="102" t="s">
        <v>636</v>
      </c>
      <c r="ET12" s="103" t="s">
        <v>990</v>
      </c>
    </row>
    <row r="13" spans="1:150" s="95" customFormat="1" ht="15" thickBot="1">
      <c r="A13" s="372" t="str">
        <f>IF(NameOfLegalEntity = 0, "", NameOfLegalEntity)</f>
        <v/>
      </c>
      <c r="B13" s="373" t="str">
        <f>IF(ReviewLevel = 0, "", ReviewLevel)</f>
        <v/>
      </c>
      <c r="C13" s="373" t="str">
        <f>IF(ReviewType = 0, "", ReviewType)</f>
        <v/>
      </c>
      <c r="D13" s="373" t="str">
        <f>IF(CompletedByLastName = 0, "", CompletedByLastName)</f>
        <v/>
      </c>
      <c r="E13" s="373" t="str">
        <f>IF(CompletedByFirstName = 0, "", CompletedByFirstName)</f>
        <v/>
      </c>
      <c r="F13" s="373">
        <f>IF(DateOfEntrance=DATE(1900,1,0), DATE(1900,1,1), DateOfEntrance)</f>
        <v>1</v>
      </c>
      <c r="G13" s="373">
        <f>IF(DateOfExit=DATE(1900,1,0), DATE(1900,1,1), DateOfExit)</f>
        <v>1</v>
      </c>
      <c r="H13" s="373">
        <f>IF(DateOfMonitoringPeriodBegin=DATE(1900,1,0), DATE(1900,1,1), DateOfMonitoringPeriodBegin)</f>
        <v>1</v>
      </c>
      <c r="I13" s="373">
        <f>IF(DateOfMonitoringPeriodEnd=DATE(1900,1,0), DATE(1900,1,1), DateOfMonitoringPeriodEnd)</f>
        <v>1</v>
      </c>
      <c r="J13" s="373" t="str">
        <f>IF(CCADAFCcontractNumber = 0, "", CCADAFCcontractNumber)</f>
        <v/>
      </c>
      <c r="K13" s="374"/>
      <c r="L13" s="374"/>
      <c r="M13" s="373" t="str">
        <f>IF(CBAOHRcontractNumber = 0, "", CBAOHRcontractNumber)</f>
        <v/>
      </c>
      <c r="N13" s="374"/>
      <c r="O13" s="374"/>
      <c r="P13" s="373" t="str">
        <f>IF(Standard_I_1 = 0, "", Standard_I_1)</f>
        <v/>
      </c>
      <c r="Q13" s="373" t="str">
        <f>IF(Standard_I_1_Comments = 0, "", Standard_I_1_Comments)</f>
        <v/>
      </c>
      <c r="R13" s="373" t="str">
        <f>IF(Standard_I_2a = 0, "", Standard_I_2a)</f>
        <v/>
      </c>
      <c r="S13" s="373" t="str">
        <f>IF(Standard_I_2a_Comments = 0, "", Standard_I_2a_Comments)</f>
        <v/>
      </c>
      <c r="T13" s="373" t="str">
        <f>IF(Standard_I_2b = 0, "", Standard_I_2b)</f>
        <v/>
      </c>
      <c r="U13" s="373" t="str">
        <f>IF(Standard_I_2b_Comments = 0, "", Standard_I_2b_Comments)</f>
        <v/>
      </c>
      <c r="V13" s="373" t="str">
        <f>IF(Standard_I_3 = 0, "", Standard_I_3)</f>
        <v/>
      </c>
      <c r="W13" s="373" t="str">
        <f>IF(Standard_I_3_Comments = 0, "", Standard_I_3_Comments)</f>
        <v/>
      </c>
      <c r="X13" s="373" t="str">
        <f>IF(Standard_I_4 = 0, "", Standard_I_4)</f>
        <v/>
      </c>
      <c r="Y13" s="373" t="str">
        <f>IF(Standard_I_4_Comments = 0, "", Standard_I_4_Comments)</f>
        <v/>
      </c>
      <c r="Z13" s="373" t="str">
        <f>IF(Standard_I_Comments = 0, "", Standard_I_Comments)</f>
        <v/>
      </c>
      <c r="AA13" s="373">
        <f>Standard_I_Total_Yes</f>
        <v>0</v>
      </c>
      <c r="AB13" s="373">
        <f>Standard_I_Total_No</f>
        <v>0</v>
      </c>
      <c r="AC13" s="373" t="str">
        <f ca="1">IF(OFFSET('Monitoring Workbook'!Standard_II_1_Answers, 0, 0, 1, 1) = 0, "", OFFSET('Monitoring Workbook'!Standard_II_1_Answers, 0, 0, 1, 1))</f>
        <v/>
      </c>
      <c r="AD13" s="373" t="str">
        <f ca="1">IF(OFFSET('Monitoring Workbook'!Standard_II_1_Answers, 0, 1, 1, 1) = 0, "", OFFSET('Monitoring Workbook'!Standard_II_1_Answers, 0, 1, 1, 1))</f>
        <v/>
      </c>
      <c r="AE13" s="373" t="str">
        <f ca="1">IF(OFFSET('Monitoring Workbook'!Standard_II_1_Answers, 0, 2, 1, 1) = 0, "", OFFSET('Monitoring Workbook'!Standard_II_1_Answers, 0, 2, 1, 1))</f>
        <v/>
      </c>
      <c r="AF13" s="373" t="str">
        <f ca="1">IF(OFFSET('Monitoring Workbook'!Standard_II_1_Answers, 0, 3, 1, 1) = 0, "", OFFSET('Monitoring Workbook'!Standard_II_1_Answers, 0, 3, 1, 1))</f>
        <v/>
      </c>
      <c r="AG13" s="373" t="str">
        <f ca="1">IF(OFFSET('Monitoring Workbook'!Standard_II_1_Answers, 0, 4, 1, 1) = 0, "", OFFSET('Monitoring Workbook'!Standard_II_1_Answers, 0, 4, 1, 1))</f>
        <v/>
      </c>
      <c r="AH13" s="373" t="str">
        <f ca="1">IF(OFFSET('Monitoring Workbook'!Standard_II_1_Answers, 2, 0, 1, 1) = 0, "", OFFSET('Monitoring Workbook'!Standard_II_1_Answers, 2, 0, 1, 1))</f>
        <v/>
      </c>
      <c r="AI13" s="373" t="str">
        <f ca="1">IF(OFFSET('Monitoring Workbook'!Standard_II_1_Answers, 2, 1, 1, 1) = 0, "", OFFSET('Monitoring Workbook'!Standard_II_1_Answers, 2, 1, 1, 1))</f>
        <v/>
      </c>
      <c r="AJ13" s="373" t="str">
        <f ca="1">IF(OFFSET('Monitoring Workbook'!Standard_II_1_Answers, 2, 2, 1, 1) = 0, "", OFFSET('Monitoring Workbook'!Standard_II_1_Answers, 2, 2, 1, 1))</f>
        <v/>
      </c>
      <c r="AK13" s="373" t="str">
        <f>IF(Standard_II_1_Comments = 0, "", Standard_II_1_Comments)</f>
        <v/>
      </c>
      <c r="AL13" s="373">
        <f>Standard_II_1_Number_Yes</f>
        <v>0</v>
      </c>
      <c r="AM13" s="373">
        <f>Standard_II_1_Number_No</f>
        <v>0</v>
      </c>
      <c r="AN13" s="373" t="str">
        <f ca="1">IF(OFFSET('Monitoring Workbook'!Standard_II_2_Answers, 0, 0, 1, 1) = 0, "", OFFSET('Monitoring Workbook'!Standard_II_2_Answers, 0, 0, 1, 1))</f>
        <v/>
      </c>
      <c r="AO13" s="373" t="str">
        <f ca="1">IF(OFFSET('Monitoring Workbook'!Standard_II_2_Answers, 0, 1, 1, 1) = 0, "", OFFSET('Monitoring Workbook'!Standard_II_2_Answers, 0, 1, 1, 1))</f>
        <v/>
      </c>
      <c r="AP13" s="373" t="str">
        <f ca="1">IF(OFFSET('Monitoring Workbook'!Standard_II_2_Answers, 0, 2, 1, 1) = 0, "", OFFSET('Monitoring Workbook'!Standard_II_2_Answers, 0, 2, 1, 1))</f>
        <v/>
      </c>
      <c r="AQ13" s="373" t="str">
        <f ca="1">IF(OFFSET('Monitoring Workbook'!Standard_II_2_Answers, 0, 3, 1, 1) = 0, "", OFFSET('Monitoring Workbook'!Standard_II_2_Answers, 0, 3, 1, 1))</f>
        <v/>
      </c>
      <c r="AR13" s="373" t="str">
        <f ca="1">IF(OFFSET('Monitoring Workbook'!Standard_II_2_Answers, 0, 4, 1, 1) = 0, "", OFFSET('Monitoring Workbook'!Standard_II_2_Answers, 0, 4, 1, 1))</f>
        <v/>
      </c>
      <c r="AS13" s="373" t="str">
        <f ca="1">IF(OFFSET('Monitoring Workbook'!Standard_II_2_Answers, 2, 0, 1, 1) = 0, "", OFFSET('Monitoring Workbook'!Standard_II_2_Answers, 2, 0, 1, 1))</f>
        <v/>
      </c>
      <c r="AT13" s="373" t="str">
        <f ca="1">IF(OFFSET('Monitoring Workbook'!Standard_II_2_Answers, 2, 1, 1, 1) = 0, "", OFFSET('Monitoring Workbook'!Standard_II_2_Answers, 2, 1, 1, 1))</f>
        <v/>
      </c>
      <c r="AU13" s="373" t="str">
        <f ca="1">IF(OFFSET('Monitoring Workbook'!Standard_II_2_Answers, 2, 2, 1, 1) = 0, "", OFFSET('Monitoring Workbook'!Standard_II_2_Answers, 2, 2, 1, 1))</f>
        <v/>
      </c>
      <c r="AV13" s="373" t="str">
        <f>IF(Standard_II_2_Comments = 0, "", Standard_II_2_Comments)</f>
        <v/>
      </c>
      <c r="AW13" s="373">
        <f>Standard_II_2_Number_Yes</f>
        <v>0</v>
      </c>
      <c r="AX13" s="373">
        <f>Standard_II_2_Number_No</f>
        <v>0</v>
      </c>
      <c r="AY13" s="373">
        <f>Standard_II_Total_Yes</f>
        <v>0</v>
      </c>
      <c r="AZ13" s="373">
        <f>Standard_II_Total_No</f>
        <v>0</v>
      </c>
      <c r="BA13" s="373" t="str">
        <f>IF(Standard_III_1_Comments = 0, "", Standard_III_1_Comments)</f>
        <v/>
      </c>
      <c r="BB13" s="373">
        <f ca="1">Standard_III_I_Number_Yes</f>
        <v>0</v>
      </c>
      <c r="BC13" s="373">
        <f ca="1">Standard_III_I_Number_No</f>
        <v>0</v>
      </c>
      <c r="BD13" s="373" t="str">
        <f>IF(Standard_III_2_Comments = 0, "", Standard_III_2_Comments)</f>
        <v/>
      </c>
      <c r="BE13" s="373">
        <f ca="1">Standard_III_2_Number_Yes</f>
        <v>0</v>
      </c>
      <c r="BF13" s="373">
        <f ca="1">Standard_III_2_Number_No</f>
        <v>0</v>
      </c>
      <c r="BG13" s="373">
        <f ca="1">Standard_III_Total_Yes</f>
        <v>0</v>
      </c>
      <c r="BH13" s="373">
        <f ca="1">Standard_III_Total_No</f>
        <v>0</v>
      </c>
      <c r="BI13" s="373" t="str">
        <f>IF(Standard_IV_1_Comments = 0, "", Standard_IV_1_Comments)</f>
        <v/>
      </c>
      <c r="BJ13" s="373">
        <f ca="1">Standard_IV_Total_Yes</f>
        <v>0</v>
      </c>
      <c r="BK13" s="373">
        <f ca="1">Standard_IV_Total_No</f>
        <v>0</v>
      </c>
      <c r="BL13" s="373" t="str">
        <f>IF(Standard_V_I_Comments = 0, "", Standard_V_I_Comments)</f>
        <v/>
      </c>
      <c r="BM13" s="373">
        <f ca="1">Standard_V_Total_Yes</f>
        <v>0</v>
      </c>
      <c r="BN13" s="373">
        <f ca="1">Standard_V_Total_No</f>
        <v>0</v>
      </c>
      <c r="BO13" s="373" t="str">
        <f>IF(Standard_VI_1_Comments = 0, "", Standard_VI_1_Comments)</f>
        <v/>
      </c>
      <c r="BP13" s="373" t="str">
        <f>IF(Standard_VI_1_NotCalc = 0, "", Standard_VI_1_NotCalc)</f>
        <v/>
      </c>
      <c r="BQ13" s="373">
        <f>IF(Std_VI_1_CashOnHandDate=DATE(1900,1,0), DATE(1900,1,1), Std_VI_1_CashOnHandDate)</f>
        <v>1</v>
      </c>
      <c r="BR13" s="373">
        <f>Std_VI_1_Pennies</f>
        <v>0</v>
      </c>
      <c r="BS13" s="373">
        <f>Std_VI_1_Nickels</f>
        <v>0</v>
      </c>
      <c r="BT13" s="373">
        <f>Std_VI_1_Dimes</f>
        <v>0</v>
      </c>
      <c r="BU13" s="373">
        <f>Std_VI_1_Quarters</f>
        <v>0</v>
      </c>
      <c r="BV13" s="373">
        <f>Std_VI_1_HalfDollars</f>
        <v>0</v>
      </c>
      <c r="BW13" s="373">
        <f>Std_VI_1_Dollars</f>
        <v>0</v>
      </c>
      <c r="BX13" s="373">
        <f>Std_VI_1_Ones</f>
        <v>0</v>
      </c>
      <c r="BY13" s="373">
        <f>Std_VI_1_Fives</f>
        <v>0</v>
      </c>
      <c r="BZ13" s="373">
        <f>Std_VI_1_Tens</f>
        <v>0</v>
      </c>
      <c r="CA13" s="373">
        <f>Std_VI_1_Twenties</f>
        <v>0</v>
      </c>
      <c r="CB13" s="373">
        <f>Std_VI_1_Fifties</f>
        <v>0</v>
      </c>
      <c r="CC13" s="373">
        <f>Std_VI_1_OtherCurrency</f>
        <v>0</v>
      </c>
      <c r="CD13" s="373">
        <f>Std_VI_1_BalPettyCashLog</f>
        <v>0</v>
      </c>
      <c r="CE13" s="373">
        <f>Std_VI_1_Adjustments</f>
        <v>0</v>
      </c>
      <c r="CF13" s="373">
        <f>IF(Std_VI_1_AdjustedBal = "", MINVALDBL, Std_VI_1_AdjustedBal)</f>
        <v>-99999.99</v>
      </c>
      <c r="CG13" s="373">
        <f>IF(Std_VI_1_PettyCashOnHand = "", MINVALDBL, Std_VI_1_PettyCashOnHand)</f>
        <v>-99999.99</v>
      </c>
      <c r="CH13" s="373">
        <f>IF(Std_VI_1_PettyCashOverShort = "", MINVALDBL, Std_VI_1_PettyCashOverShort)</f>
        <v>-99999.99</v>
      </c>
      <c r="CI13" s="373" t="str">
        <f>IF(Standard_VI_1f = 0, "", Standard_VI_1f)</f>
        <v/>
      </c>
      <c r="CJ13" s="373" t="str">
        <f>IF(Standard_VI = 0, "", Standard_VI)</f>
        <v/>
      </c>
      <c r="CK13" s="373" t="str">
        <f>IF(Standard_VII_1_Comments = 0, "", Standard_VII_1_Comments)</f>
        <v/>
      </c>
      <c r="CL13" s="373">
        <f ca="1">Standard_VII_Total_Yes</f>
        <v>0</v>
      </c>
      <c r="CM13" s="373">
        <f ca="1">Standard_VII_Total_No</f>
        <v>0</v>
      </c>
      <c r="CN13" s="373" t="str">
        <f>IF(Standard_VIII_1a_NotCalc = 0, "", Standard_VIII_1a_NotCalc)</f>
        <v/>
      </c>
      <c r="CO13" s="373" t="str">
        <f>IF(Standard_VIII_1b_NotCalc = 0, "", Standard_VIII_1b_NotCalc)</f>
        <v/>
      </c>
      <c r="CP13" s="373" t="str">
        <f>IF(Standard_VIII_1_Comments = 0, "", Standard_VIII_1_Comments)</f>
        <v/>
      </c>
      <c r="CQ13" s="373">
        <f>Std_VIII_TotalOutstandingChecks</f>
        <v>0</v>
      </c>
      <c r="CR13" s="373">
        <f>Std_VIII_TotalDepositsInTransit</f>
        <v>0</v>
      </c>
      <c r="CS13" s="373">
        <f>Std_VIII_TrustFundTrialBalance</f>
        <v>0</v>
      </c>
      <c r="CT13" s="373">
        <f>IF(Std_VIII_BankStmtDate=DATE(1900,1,0), DATE(1900,1,1), Std_VIII_BankStmtDate)</f>
        <v>1</v>
      </c>
      <c r="CU13" s="373">
        <f>Std_VIII_BankStmtBalance</f>
        <v>0</v>
      </c>
      <c r="CV13" s="373">
        <f>Std_VIII_AdjBalPerBank</f>
        <v>0</v>
      </c>
      <c r="CW13" s="373">
        <f>IF(Std_VIII_TotPtyCashOnHandDate=DATE(1900,1,0), DATE(1900,1,1), Std_VIII_TotPtyCashOnHandDate)</f>
        <v>1</v>
      </c>
      <c r="CX13" s="373">
        <f>Std_VIII_TotPtyCashOnHand</f>
        <v>0</v>
      </c>
      <c r="CY13" s="373">
        <f>IF(Std_VIII_BalPerBooksDate=DATE(1900,1,0), DATE(1900,1,1), Std_VIII_BalPerBooksDate)</f>
        <v>1</v>
      </c>
      <c r="CZ13" s="373">
        <f>Std_VIII_BalPerBooks</f>
        <v>0</v>
      </c>
      <c r="DA13" s="373">
        <f>Std_VIII_UnApplEarnedInt</f>
        <v>0</v>
      </c>
      <c r="DB13" s="373">
        <f>Std_VIII_RecptsForDsbmnts</f>
        <v>0</v>
      </c>
      <c r="DC13" s="373">
        <f>Std_VIII_NSFchecks</f>
        <v>0</v>
      </c>
      <c r="DD13" s="373">
        <f>Std_VIII_AdjBalPerBooks</f>
        <v>0</v>
      </c>
      <c r="DE13" s="373">
        <f>IF(Std_VIII_AcctOverShort = "", MINVALDBL, Std_VIII_AcctOverShort)</f>
        <v>-99999.99</v>
      </c>
      <c r="DF13" s="373" t="str">
        <f>IF(Standard_VIII_1m = 0, "", Standard_VIII_1m)</f>
        <v/>
      </c>
      <c r="DG13" s="373" t="str">
        <f>IF(Standard_VIII_1n = 0, "", Standard_VIII_1n)</f>
        <v/>
      </c>
      <c r="DH13" s="373" t="str">
        <f>IF(Standard_VIII = 0, "", Standard_VIII)</f>
        <v/>
      </c>
      <c r="DI13" s="373" t="str">
        <f>IF(Standard_IX_1_Comments = 0, "", Standard_IX_1_Comments)</f>
        <v/>
      </c>
      <c r="DJ13" s="373">
        <f ca="1">Standard_IX_Total_Yes</f>
        <v>0</v>
      </c>
      <c r="DK13" s="373">
        <f ca="1">Standard_IX_Total_No</f>
        <v>0</v>
      </c>
      <c r="DL13" s="373" t="str">
        <f>IF(Standard_X_1_Comments = 0, "", Standard_X_1_Comments)</f>
        <v xml:space="preserve"> </v>
      </c>
      <c r="DM13" s="373">
        <f ca="1">Standard_X_1_Number_Yes</f>
        <v>0</v>
      </c>
      <c r="DN13" s="373">
        <f ca="1">Standard_X_1_Number_No</f>
        <v>0</v>
      </c>
      <c r="DO13" s="373" t="str">
        <f>IF(Standard_X_2_Comments = 0, "", Standard_X_2_Comments)</f>
        <v/>
      </c>
      <c r="DP13" s="373">
        <f ca="1">Standard_X_2_Number_Yes</f>
        <v>0</v>
      </c>
      <c r="DQ13" s="373">
        <f ca="1">Standard_X_2_Number_No</f>
        <v>0</v>
      </c>
      <c r="DR13" s="373" t="str">
        <f>IF(Standard_X_3_Comments = 0, "", Standard_X_3_Comments)</f>
        <v/>
      </c>
      <c r="DS13" s="373">
        <f ca="1">Standard_X_3_Number_Yes</f>
        <v>0</v>
      </c>
      <c r="DT13" s="373">
        <f ca="1">Standard_X_3_Number_No</f>
        <v>0</v>
      </c>
      <c r="DU13" s="373" t="str">
        <f>IF(Standard_X_4_Comments = 0, "", Standard_X_4_Comments)</f>
        <v/>
      </c>
      <c r="DV13" s="373">
        <f ca="1">Standard_X_4_Number_Yes</f>
        <v>0</v>
      </c>
      <c r="DW13" s="373">
        <f ca="1">Standard_X_4_Number_No</f>
        <v>0</v>
      </c>
      <c r="DX13" s="373" t="str">
        <f>IF(Standard_X_5_Comments = 0, "", Standard_X_5_Comments)</f>
        <v/>
      </c>
      <c r="DY13" s="373">
        <f ca="1">Standard_X_5_Number_Yes</f>
        <v>0</v>
      </c>
      <c r="DZ13" s="373">
        <f ca="1">Standard_X_5_Number_No</f>
        <v>0</v>
      </c>
      <c r="EA13" s="373" t="str">
        <f>IF(Standard_X_6_Comments = 0, "", Standard_X_6_Comments)</f>
        <v/>
      </c>
      <c r="EB13" s="373">
        <f ca="1">Standard_X_6_Number_Yes</f>
        <v>0</v>
      </c>
      <c r="EC13" s="373">
        <f ca="1">Standard_X_6_Number_No</f>
        <v>0</v>
      </c>
      <c r="ED13" s="373">
        <f ca="1">Standard_X_Total_Yes</f>
        <v>0</v>
      </c>
      <c r="EE13" s="373">
        <f ca="1">Standard_X_Total_No</f>
        <v>0</v>
      </c>
      <c r="EF13" s="373" t="str">
        <f>IF(Standard_XI_1_Comments = 0, "", Standard_XI_1_Comments)</f>
        <v/>
      </c>
      <c r="EG13" s="373">
        <f ca="1">Standard_XI_1_Number_Yes</f>
        <v>0</v>
      </c>
      <c r="EH13" s="373">
        <f ca="1">Standard_XI_1_Number_No</f>
        <v>0</v>
      </c>
      <c r="EI13" s="373" t="str">
        <f>IF(Standard_XI_2_Comments = 0, "", Standard_XI_2_Comments)</f>
        <v/>
      </c>
      <c r="EJ13" s="373">
        <f ca="1">Standard_XI_2_Number_Yes</f>
        <v>0</v>
      </c>
      <c r="EK13" s="373">
        <f ca="1">Standard_XI_2_Number_No</f>
        <v>0</v>
      </c>
      <c r="EL13" s="373" t="str">
        <f>IF(Standard_XI_3_Comments = 0, "", Standard_XI_3_Comments)</f>
        <v/>
      </c>
      <c r="EM13" s="373">
        <f ca="1">Standard_XI_3_Number_Yes</f>
        <v>0</v>
      </c>
      <c r="EN13" s="373">
        <f ca="1">Standard_XI_3_Number_No</f>
        <v>0</v>
      </c>
      <c r="EO13" s="373" t="str">
        <f>IF(Standard_XI_4_Comments = 0, "", Standard_XI_4_Comments)</f>
        <v/>
      </c>
      <c r="EP13" s="373">
        <f ca="1">Standard_XI_4_Number_Yes</f>
        <v>0</v>
      </c>
      <c r="EQ13" s="373">
        <f ca="1">Standard_XI_4_Number_No</f>
        <v>0</v>
      </c>
      <c r="ER13" s="373">
        <f ca="1">Standard_XI_Total_Yes</f>
        <v>0</v>
      </c>
      <c r="ES13" s="373">
        <f ca="1">Standard_XI_Total_No</f>
        <v>0</v>
      </c>
      <c r="ET13" s="375">
        <f>IF(DateOfRevisedExit=DATE(1900,1,0),DATE(1900,1,1),DateOfRevisedExit)</f>
        <v>1</v>
      </c>
    </row>
    <row r="15" spans="1:150" ht="15" thickBot="1">
      <c r="A15" t="s">
        <v>904</v>
      </c>
    </row>
    <row r="16" spans="1:150">
      <c r="A16" s="104" t="s">
        <v>698</v>
      </c>
      <c r="B16" s="105" t="s">
        <v>903</v>
      </c>
      <c r="C16" s="106" t="s">
        <v>151</v>
      </c>
    </row>
    <row r="17" spans="1:3">
      <c r="A17" s="168">
        <f ca="1">OFFSET(Checks_And_Deposits, 0, 0, 1, 1)</f>
        <v>0</v>
      </c>
      <c r="B17" s="108">
        <f ca="1">IF(OFFSET(Checks_And_Deposits, 0, 1, 1, 1)=DATE(1900,1,0), DATE(1900,1,1), OFFSET(Checks_And_Deposits, 0, 1, 1, 1))</f>
        <v>1</v>
      </c>
      <c r="C17" s="166">
        <f ca="1">OFFSET(Checks_And_Deposits, 0, 3, 1, 1)</f>
        <v>0</v>
      </c>
    </row>
    <row r="18" spans="1:3">
      <c r="A18" s="168">
        <f ca="1">OFFSET(Checks_And_Deposits, 1, 0, 1, 1)</f>
        <v>0</v>
      </c>
      <c r="B18" s="108">
        <f ca="1">IF(OFFSET(Checks_And_Deposits, 1, 1, 1, 1)=DATE(1900,1,0), DATE(1900,1,1), OFFSET(Checks_And_Deposits, 1, 1, 1, 1))</f>
        <v>1</v>
      </c>
      <c r="C18" s="166">
        <f ca="1">OFFSET(Checks_And_Deposits, 1, 3, 1, 1)</f>
        <v>0</v>
      </c>
    </row>
    <row r="19" spans="1:3">
      <c r="A19" s="168">
        <f ca="1">OFFSET(Checks_And_Deposits, 2, 0, 1, 1)</f>
        <v>0</v>
      </c>
      <c r="B19" s="108">
        <f ca="1">IF(OFFSET(Checks_And_Deposits, 2, 1, 1, 1)=DATE(1900,1,0), DATE(1900,1,1), OFFSET(Checks_And_Deposits, 2, 1, 1, 1))</f>
        <v>1</v>
      </c>
      <c r="C19" s="166">
        <f ca="1">OFFSET(Checks_And_Deposits, 2, 3, 1, 1)</f>
        <v>0</v>
      </c>
    </row>
    <row r="20" spans="1:3">
      <c r="A20" s="168">
        <f ca="1">OFFSET(Checks_And_Deposits, 3, 0, 1, 1)</f>
        <v>0</v>
      </c>
      <c r="B20" s="108">
        <f ca="1">IF(OFFSET(Checks_And_Deposits, 3, 1, 1, 1)=DATE(1900,1,0), DATE(1900,1,1), OFFSET(Checks_And_Deposits, 3, 1, 1, 1))</f>
        <v>1</v>
      </c>
      <c r="C20" s="166">
        <f ca="1">OFFSET(Checks_And_Deposits, 3, 3, 1, 1)</f>
        <v>0</v>
      </c>
    </row>
    <row r="21" spans="1:3">
      <c r="A21" s="168">
        <f ca="1">OFFSET(Checks_And_Deposits, 4, 0, 1, 1)</f>
        <v>0</v>
      </c>
      <c r="B21" s="108">
        <f ca="1">IF(OFFSET(Checks_And_Deposits, 4, 1, 1, 1)=DATE(1900,1,0), DATE(1900,1,1), OFFSET(Checks_And_Deposits, 4, 1, 1, 1))</f>
        <v>1</v>
      </c>
      <c r="C21" s="166">
        <f ca="1">OFFSET(Checks_And_Deposits, 4, 3, 1, 1)</f>
        <v>0</v>
      </c>
    </row>
    <row r="22" spans="1:3">
      <c r="A22" s="168">
        <f ca="1">OFFSET(Checks_And_Deposits, 5, 0, 1, 1)</f>
        <v>0</v>
      </c>
      <c r="B22" s="108">
        <f ca="1">IF(OFFSET(Checks_And_Deposits, 5, 1, 1, 1)=DATE(1900,1,0), DATE(1900,1,1), OFFSET(Checks_And_Deposits, 5, 1, 1, 1))</f>
        <v>1</v>
      </c>
      <c r="C22" s="166">
        <f ca="1">OFFSET(Checks_And_Deposits, 5, 3, 1, 1)</f>
        <v>0</v>
      </c>
    </row>
    <row r="23" spans="1:3">
      <c r="A23" s="168">
        <f ca="1">OFFSET(Checks_And_Deposits, 6, 0, 1, 1)</f>
        <v>0</v>
      </c>
      <c r="B23" s="108">
        <f ca="1">IF(OFFSET(Checks_And_Deposits, 6, 1, 1, 1)=DATE(1900,1,0), DATE(1900,1,1), OFFSET(Checks_And_Deposits, 6, 1, 1, 1))</f>
        <v>1</v>
      </c>
      <c r="C23" s="166">
        <f ca="1">OFFSET(Checks_And_Deposits, 6, 3, 1, 1)</f>
        <v>0</v>
      </c>
    </row>
    <row r="24" spans="1:3">
      <c r="A24" s="168">
        <f ca="1">OFFSET(Checks_And_Deposits, 7, 0, 1, 1)</f>
        <v>0</v>
      </c>
      <c r="B24" s="108">
        <f ca="1">IF(OFFSET(Checks_And_Deposits, 7, 1, 1, 1)=DATE(1900,1,0), DATE(1900,1,1), OFFSET(Checks_And_Deposits, 7, 1, 1, 1))</f>
        <v>1</v>
      </c>
      <c r="C24" s="166">
        <f ca="1">OFFSET(Checks_And_Deposits, 7, 3, 1, 1)</f>
        <v>0</v>
      </c>
    </row>
    <row r="25" spans="1:3">
      <c r="A25" s="168">
        <f ca="1">OFFSET(Checks_And_Deposits, 8, 0, 1, 1)</f>
        <v>0</v>
      </c>
      <c r="B25" s="108">
        <f ca="1">IF(OFFSET(Checks_And_Deposits, 8, 1, 1, 1)=DATE(1900,1,0), DATE(1900,1,1), OFFSET(Checks_And_Deposits, 8, 1, 1, 1))</f>
        <v>1</v>
      </c>
      <c r="C25" s="166">
        <f ca="1">OFFSET(Checks_And_Deposits, 8, 3, 1, 1)</f>
        <v>0</v>
      </c>
    </row>
    <row r="26" spans="1:3">
      <c r="A26" s="168">
        <f ca="1">OFFSET(Checks_And_Deposits, 9, 0, 1, 1)</f>
        <v>0</v>
      </c>
      <c r="B26" s="108">
        <f ca="1">IF(OFFSET(Checks_And_Deposits, 9, 1, 1, 1)=DATE(1900,1,0), DATE(1900,1,1), OFFSET(Checks_And_Deposits, 9, 1, 1, 1))</f>
        <v>1</v>
      </c>
      <c r="C26" s="166">
        <f ca="1">OFFSET(Checks_And_Deposits, 9, 3, 1, 1)</f>
        <v>0</v>
      </c>
    </row>
    <row r="27" spans="1:3">
      <c r="A27" s="168">
        <f ca="1">OFFSET(Checks_And_Deposits, 10, 0, 1, 1)</f>
        <v>0</v>
      </c>
      <c r="B27" s="108">
        <f ca="1">IF(OFFSET(Checks_And_Deposits, 10, 1, 1, 1)=DATE(1900,1,0), DATE(1900,1,1), OFFSET(Checks_And_Deposits, 10, 1, 1, 1))</f>
        <v>1</v>
      </c>
      <c r="C27" s="166">
        <f ca="1">OFFSET(Checks_And_Deposits, 10, 3, 1, 1)</f>
        <v>0</v>
      </c>
    </row>
    <row r="28" spans="1:3">
      <c r="A28" s="168">
        <f ca="1">OFFSET(Checks_And_Deposits, 11, 0, 1, 1)</f>
        <v>0</v>
      </c>
      <c r="B28" s="108">
        <f ca="1">IF(OFFSET(Checks_And_Deposits, 11, 1, 1, 1)=DATE(1900,1,0), DATE(1900,1,1), OFFSET(Checks_And_Deposits, 11, 1, 1, 1))</f>
        <v>1</v>
      </c>
      <c r="C28" s="166">
        <f ca="1">OFFSET(Checks_And_Deposits, 11, 3, 1, 1)</f>
        <v>0</v>
      </c>
    </row>
    <row r="29" spans="1:3">
      <c r="A29" s="168">
        <f ca="1">OFFSET(Checks_And_Deposits, 12, 0, 1, 1)</f>
        <v>0</v>
      </c>
      <c r="B29" s="108">
        <f ca="1">IF(OFFSET(Checks_And_Deposits, 12, 1, 1, 1)=DATE(1900,1,0), DATE(1900,1,1), OFFSET(Checks_And_Deposits, 12, 1, 1, 1))</f>
        <v>1</v>
      </c>
      <c r="C29" s="166">
        <f ca="1">OFFSET(Checks_And_Deposits, 12, 3, 1, 1)</f>
        <v>0</v>
      </c>
    </row>
    <row r="30" spans="1:3">
      <c r="A30" s="168">
        <f ca="1">OFFSET(Checks_And_Deposits, 13, 0, 1, 1)</f>
        <v>0</v>
      </c>
      <c r="B30" s="108">
        <f ca="1">IF(OFFSET(Checks_And_Deposits, 13, 1, 1, 1)=DATE(1900,1,0), DATE(1900,1,1), OFFSET(Checks_And_Deposits, 13, 1, 1, 1))</f>
        <v>1</v>
      </c>
      <c r="C30" s="166">
        <f ca="1">OFFSET(Checks_And_Deposits, 13, 3, 1, 1)</f>
        <v>0</v>
      </c>
    </row>
    <row r="31" spans="1:3">
      <c r="A31" s="168">
        <f ca="1">OFFSET(Checks_And_Deposits, 14, 0, 1, 1)</f>
        <v>0</v>
      </c>
      <c r="B31" s="108">
        <f ca="1">IF(OFFSET(Checks_And_Deposits, 14, 1, 1, 1)=DATE(1900,1,0), DATE(1900,1,1), OFFSET(Checks_And_Deposits, 14, 1, 1, 1))</f>
        <v>1</v>
      </c>
      <c r="C31" s="166">
        <f ca="1">OFFSET(Checks_And_Deposits, 14, 3, 1, 1)</f>
        <v>0</v>
      </c>
    </row>
    <row r="32" spans="1:3">
      <c r="A32" s="168">
        <f ca="1">OFFSET(Checks_And_Deposits, 15, 0, 1, 1)</f>
        <v>0</v>
      </c>
      <c r="B32" s="108">
        <f ca="1">IF(OFFSET(Checks_And_Deposits, 15, 1, 1, 1)=DATE(1900,1,0), DATE(1900,1,1), OFFSET(Checks_And_Deposits, 15, 1, 1, 1))</f>
        <v>1</v>
      </c>
      <c r="C32" s="166">
        <f ca="1">OFFSET(Checks_And_Deposits, 15, 3, 1, 1)</f>
        <v>0</v>
      </c>
    </row>
    <row r="33" spans="1:3">
      <c r="A33" s="168">
        <f ca="1">OFFSET(Checks_And_Deposits, 16, 0, 1, 1)</f>
        <v>0</v>
      </c>
      <c r="B33" s="108">
        <f ca="1">IF(OFFSET(Checks_And_Deposits, 16, 1, 1, 1)=DATE(1900,1,0), DATE(1900,1,1), OFFSET(Checks_And_Deposits, 16, 1, 1, 1))</f>
        <v>1</v>
      </c>
      <c r="C33" s="166">
        <f ca="1">OFFSET(Checks_And_Deposits, 16, 3, 1, 1)</f>
        <v>0</v>
      </c>
    </row>
    <row r="34" spans="1:3">
      <c r="A34" s="168">
        <f ca="1">OFFSET(Checks_And_Deposits, 17, 0, 1, 1)</f>
        <v>0</v>
      </c>
      <c r="B34" s="108">
        <f ca="1">IF(OFFSET(Checks_And_Deposits, 17, 1, 1, 1)=DATE(1900,1,0), DATE(1900,1,1), OFFSET(Checks_And_Deposits, 17, 1, 1, 1))</f>
        <v>1</v>
      </c>
      <c r="C34" s="166">
        <f ca="1">OFFSET(Checks_And_Deposits, 17, 3, 1, 1)</f>
        <v>0</v>
      </c>
    </row>
    <row r="35" spans="1:3">
      <c r="A35" s="168">
        <f ca="1">OFFSET(Checks_And_Deposits, 18, 0, 1, 1)</f>
        <v>0</v>
      </c>
      <c r="B35" s="108">
        <f ca="1">IF(OFFSET(Checks_And_Deposits, 18, 1, 1, 1)=DATE(1900,1,0), DATE(1900,1,1), OFFSET(Checks_And_Deposits, 18, 1, 1, 1))</f>
        <v>1</v>
      </c>
      <c r="C35" s="166">
        <f ca="1">OFFSET(Checks_And_Deposits, 18, 3, 1, 1)</f>
        <v>0</v>
      </c>
    </row>
    <row r="36" spans="1:3">
      <c r="A36" s="168">
        <f ca="1">OFFSET(Checks_And_Deposits, 19, 0, 1, 1)</f>
        <v>0</v>
      </c>
      <c r="B36" s="108">
        <f ca="1">IF(OFFSET(Checks_And_Deposits, 19, 1, 1, 1)=DATE(1900,1,0), DATE(1900,1,1), OFFSET(Checks_And_Deposits, 19, 1, 1, 1))</f>
        <v>1</v>
      </c>
      <c r="C36" s="166">
        <f ca="1">OFFSET(Checks_And_Deposits, 19, 3, 1, 1)</f>
        <v>0</v>
      </c>
    </row>
    <row r="37" spans="1:3">
      <c r="A37" s="168">
        <f ca="1">OFFSET(Checks_And_Deposits, 20, 0, 1, 1)</f>
        <v>0</v>
      </c>
      <c r="B37" s="108">
        <f ca="1">IF(OFFSET(Checks_And_Deposits, 20, 1, 1, 1)=DATE(1900,1,0), DATE(1900,1,1), OFFSET(Checks_And_Deposits, 20, 1, 1, 1))</f>
        <v>1</v>
      </c>
      <c r="C37" s="166">
        <f ca="1">OFFSET(Checks_And_Deposits, 20, 3, 1, 1)</f>
        <v>0</v>
      </c>
    </row>
    <row r="38" spans="1:3">
      <c r="A38" s="168">
        <f ca="1">OFFSET(Checks_And_Deposits, 21, 0, 1, 1)</f>
        <v>0</v>
      </c>
      <c r="B38" s="108">
        <f ca="1">IF(OFFSET(Checks_And_Deposits, 21, 1, 1, 1)=DATE(1900,1,0), DATE(1900,1,1), OFFSET(Checks_And_Deposits, 21, 1, 1, 1))</f>
        <v>1</v>
      </c>
      <c r="C38" s="166">
        <f ca="1">OFFSET(Checks_And_Deposits, 21, 3, 1, 1)</f>
        <v>0</v>
      </c>
    </row>
    <row r="39" spans="1:3">
      <c r="A39" s="168">
        <f ca="1">OFFSET(Checks_And_Deposits, 22, 0, 1, 1)</f>
        <v>0</v>
      </c>
      <c r="B39" s="108">
        <f ca="1">IF(OFFSET(Checks_And_Deposits, 22, 1, 1, 1)=DATE(1900,1,0), DATE(1900,1,1), OFFSET(Checks_And_Deposits, 22, 1, 1, 1))</f>
        <v>1</v>
      </c>
      <c r="C39" s="166">
        <f ca="1">OFFSET(Checks_And_Deposits, 22, 3, 1, 1)</f>
        <v>0</v>
      </c>
    </row>
    <row r="40" spans="1:3">
      <c r="A40" s="168">
        <f ca="1">OFFSET(Checks_And_Deposits, 23, 0, 1, 1)</f>
        <v>0</v>
      </c>
      <c r="B40" s="108">
        <f ca="1">IF(OFFSET(Checks_And_Deposits, 23, 1, 1, 1)=DATE(1900,1,0), DATE(1900,1,1), OFFSET(Checks_And_Deposits, 23, 1, 1, 1))</f>
        <v>1</v>
      </c>
      <c r="C40" s="166">
        <f ca="1">OFFSET(Checks_And_Deposits, 23, 3, 1, 1)</f>
        <v>0</v>
      </c>
    </row>
    <row r="41" spans="1:3">
      <c r="A41" s="168">
        <f ca="1">OFFSET(Checks_And_Deposits, 24, 0, 1, 1)</f>
        <v>0</v>
      </c>
      <c r="B41" s="108">
        <f ca="1">IF(OFFSET(Checks_And_Deposits, 24, 1, 1, 1)=DATE(1900,1,0), DATE(1900,1,1), OFFSET(Checks_And_Deposits, 24, 1, 1, 1))</f>
        <v>1</v>
      </c>
      <c r="C41" s="166">
        <f ca="1">OFFSET(Checks_And_Deposits, 24, 3, 1, 1)</f>
        <v>0</v>
      </c>
    </row>
    <row r="42" spans="1:3">
      <c r="A42" s="168">
        <f ca="1">OFFSET(Checks_And_Deposits, 25, 0, 1, 1)</f>
        <v>0</v>
      </c>
      <c r="B42" s="108">
        <f ca="1">IF(OFFSET(Checks_And_Deposits, 25, 1, 1, 1)=DATE(1900,1,0), DATE(1900,1,1), OFFSET(Checks_And_Deposits, 25, 1, 1, 1))</f>
        <v>1</v>
      </c>
      <c r="C42" s="166">
        <f ca="1">OFFSET(Checks_And_Deposits, 25, 3, 1, 1)</f>
        <v>0</v>
      </c>
    </row>
    <row r="43" spans="1:3">
      <c r="A43" s="168">
        <f ca="1">OFFSET(Checks_And_Deposits, 26, 0, 1, 1)</f>
        <v>0</v>
      </c>
      <c r="B43" s="108">
        <f ca="1">IF(OFFSET(Checks_And_Deposits, 26, 1, 1, 1)=DATE(1900,1,0), DATE(1900,1,1), OFFSET(Checks_And_Deposits, 26, 1, 1, 1))</f>
        <v>1</v>
      </c>
      <c r="C43" s="166">
        <f ca="1">OFFSET(Checks_And_Deposits, 26, 3, 1, 1)</f>
        <v>0</v>
      </c>
    </row>
    <row r="44" spans="1:3">
      <c r="A44" s="168">
        <f ca="1">OFFSET(Checks_And_Deposits, 27, 0, 1, 1)</f>
        <v>0</v>
      </c>
      <c r="B44" s="108">
        <f ca="1">IF(OFFSET(Checks_And_Deposits, 27, 1, 1, 1)=DATE(1900,1,0), DATE(1900,1,1), OFFSET(Checks_And_Deposits, 27, 1, 1, 1))</f>
        <v>1</v>
      </c>
      <c r="C44" s="166">
        <f ca="1">OFFSET(Checks_And_Deposits, 27, 3, 1, 1)</f>
        <v>0</v>
      </c>
    </row>
    <row r="45" spans="1:3">
      <c r="A45" s="168">
        <f ca="1">OFFSET(Checks_And_Deposits, 28, 0, 1, 1)</f>
        <v>0</v>
      </c>
      <c r="B45" s="108">
        <f ca="1">IF(OFFSET(Checks_And_Deposits, 28, 1, 1, 1)=DATE(1900,1,0), DATE(1900,1,1), OFFSET(Checks_And_Deposits, 28, 1, 1, 1))</f>
        <v>1</v>
      </c>
      <c r="C45" s="166">
        <f ca="1">OFFSET(Checks_And_Deposits, 28, 3, 1, 1)</f>
        <v>0</v>
      </c>
    </row>
    <row r="46" spans="1:3">
      <c r="A46" s="168">
        <f ca="1">OFFSET(Checks_And_Deposits, 29, 0, 1, 1)</f>
        <v>0</v>
      </c>
      <c r="B46" s="108">
        <f ca="1">IF(OFFSET(Checks_And_Deposits, 29, 1, 1, 1)=DATE(1900,1,0), DATE(1900,1,1), OFFSET(Checks_And_Deposits, 29, 1, 1, 1))</f>
        <v>1</v>
      </c>
      <c r="C46" s="166">
        <f ca="1">OFFSET(Checks_And_Deposits, 29, 3, 1, 1)</f>
        <v>0</v>
      </c>
    </row>
    <row r="47" spans="1:3">
      <c r="A47" s="168">
        <f ca="1">OFFSET(Checks_And_Deposits, 0, 5, 1, 1)</f>
        <v>0</v>
      </c>
      <c r="B47" s="108">
        <f ca="1">IF(OFFSET(Checks_And_Deposits, 0, 6, 1, 1)=DATE(1900,1,0), DATE(1900,1,1), OFFSET(Checks_And_Deposits, 0, 6, 1, 1))</f>
        <v>1</v>
      </c>
      <c r="C47" s="166">
        <f ca="1">OFFSET(Checks_And_Deposits, 0, 8, 1, 1)</f>
        <v>0</v>
      </c>
    </row>
    <row r="48" spans="1:3">
      <c r="A48" s="168">
        <f ca="1">OFFSET(Checks_And_Deposits, 1, 5, 1, 1)</f>
        <v>0</v>
      </c>
      <c r="B48" s="108">
        <f ca="1">IF(OFFSET(Checks_And_Deposits, 1, 6, 1, 1)=DATE(1900,1,0), DATE(1900,1,1), OFFSET(Checks_And_Deposits, 1, 6, 1, 1))</f>
        <v>1</v>
      </c>
      <c r="C48" s="166">
        <f ca="1">OFFSET(Checks_And_Deposits, 1, 8, 1, 1)</f>
        <v>0</v>
      </c>
    </row>
    <row r="49" spans="1:3">
      <c r="A49" s="168">
        <f ca="1">OFFSET(Checks_And_Deposits, 2, 5, 1, 1)</f>
        <v>0</v>
      </c>
      <c r="B49" s="108">
        <f ca="1">IF(OFFSET(Checks_And_Deposits, 2, 6, 1, 1)=DATE(1900,1,0), DATE(1900,1,1), OFFSET(Checks_And_Deposits, 2, 6, 1, 1))</f>
        <v>1</v>
      </c>
      <c r="C49" s="166">
        <f ca="1">OFFSET(Checks_And_Deposits, 2, 8, 1, 1)</f>
        <v>0</v>
      </c>
    </row>
    <row r="50" spans="1:3">
      <c r="A50" s="168">
        <f ca="1">OFFSET(Checks_And_Deposits, 3, 5, 1, 1)</f>
        <v>0</v>
      </c>
      <c r="B50" s="108">
        <f ca="1">IF(OFFSET(Checks_And_Deposits, 3, 6, 1, 1)=DATE(1900,1,0), DATE(1900,1,1), OFFSET(Checks_And_Deposits, 3, 6, 1, 1))</f>
        <v>1</v>
      </c>
      <c r="C50" s="166">
        <f ca="1">OFFSET(Checks_And_Deposits, 3, 8, 1, 1)</f>
        <v>0</v>
      </c>
    </row>
    <row r="51" spans="1:3">
      <c r="A51" s="168">
        <f ca="1">OFFSET(Checks_And_Deposits, 4, 5, 1, 1)</f>
        <v>0</v>
      </c>
      <c r="B51" s="108">
        <f ca="1">IF(OFFSET(Checks_And_Deposits, 4, 6, 1, 1)=DATE(1900,1,0), DATE(1900,1,1), OFFSET(Checks_And_Deposits, 4, 6, 1, 1))</f>
        <v>1</v>
      </c>
      <c r="C51" s="166">
        <f ca="1">OFFSET(Checks_And_Deposits, 4, 8, 1, 1)</f>
        <v>0</v>
      </c>
    </row>
    <row r="52" spans="1:3">
      <c r="A52" s="168">
        <f ca="1">OFFSET(Checks_And_Deposits, 5, 5, 1, 1)</f>
        <v>0</v>
      </c>
      <c r="B52" s="108">
        <f ca="1">IF(OFFSET(Checks_And_Deposits, 5, 6, 1, 1)=DATE(1900,1,0), DATE(1900,1,1), OFFSET(Checks_And_Deposits, 5, 6, 1, 1))</f>
        <v>1</v>
      </c>
      <c r="C52" s="166">
        <f ca="1">OFFSET(Checks_And_Deposits, 5, 8, 1, 1)</f>
        <v>0</v>
      </c>
    </row>
    <row r="53" spans="1:3">
      <c r="A53" s="168">
        <f ca="1">OFFSET(Checks_And_Deposits, 6, 5, 1, 1)</f>
        <v>0</v>
      </c>
      <c r="B53" s="108">
        <f ca="1">IF(OFFSET(Checks_And_Deposits, 6, 6, 1, 1)=DATE(1900,1,0), DATE(1900,1,1), OFFSET(Checks_And_Deposits, 6, 6, 1, 1))</f>
        <v>1</v>
      </c>
      <c r="C53" s="166">
        <f ca="1">OFFSET(Checks_And_Deposits, 6, 8, 1, 1)</f>
        <v>0</v>
      </c>
    </row>
    <row r="54" spans="1:3">
      <c r="A54" s="168">
        <f ca="1">OFFSET(Checks_And_Deposits, 7, 5, 1, 1)</f>
        <v>0</v>
      </c>
      <c r="B54" s="108">
        <f ca="1">IF(OFFSET(Checks_And_Deposits, 7, 6, 1, 1)=DATE(1900,1,0), DATE(1900,1,1), OFFSET(Checks_And_Deposits, 7, 6, 1, 1))</f>
        <v>1</v>
      </c>
      <c r="C54" s="166">
        <f ca="1">OFFSET(Checks_And_Deposits, 7, 8, 1, 1)</f>
        <v>0</v>
      </c>
    </row>
    <row r="55" spans="1:3">
      <c r="A55" s="168">
        <f ca="1">OFFSET(Checks_And_Deposits, 8, 5, 1, 1)</f>
        <v>0</v>
      </c>
      <c r="B55" s="108">
        <f ca="1">IF(OFFSET(Checks_And_Deposits, 8, 6, 1, 1)=DATE(1900,1,0), DATE(1900,1,1), OFFSET(Checks_And_Deposits, 8, 6, 1, 1))</f>
        <v>1</v>
      </c>
      <c r="C55" s="166">
        <f ca="1">OFFSET(Checks_And_Deposits, 8, 8, 1, 1)</f>
        <v>0</v>
      </c>
    </row>
    <row r="56" spans="1:3">
      <c r="A56" s="168">
        <f ca="1">OFFSET(Checks_And_Deposits, 9, 5, 1, 1)</f>
        <v>0</v>
      </c>
      <c r="B56" s="108">
        <f ca="1">IF(OFFSET(Checks_And_Deposits, 9, 6, 1, 1)=DATE(1900,1,0), DATE(1900,1,1), OFFSET(Checks_And_Deposits, 9, 6, 1, 1))</f>
        <v>1</v>
      </c>
      <c r="C56" s="166">
        <f ca="1">OFFSET(Checks_And_Deposits, 9, 8, 1, 1)</f>
        <v>0</v>
      </c>
    </row>
    <row r="57" spans="1:3">
      <c r="A57" s="168">
        <f ca="1">OFFSET(Checks_And_Deposits, 10, 5, 1, 1)</f>
        <v>0</v>
      </c>
      <c r="B57" s="108">
        <f ca="1">IF(OFFSET(Checks_And_Deposits, 10, 6, 1, 1)=DATE(1900,1,0), DATE(1900,1,1), OFFSET(Checks_And_Deposits, 10, 6, 1, 1))</f>
        <v>1</v>
      </c>
      <c r="C57" s="166">
        <f ca="1">OFFSET(Checks_And_Deposits, 10, 8, 1, 1)</f>
        <v>0</v>
      </c>
    </row>
    <row r="58" spans="1:3">
      <c r="A58" s="168">
        <f ca="1">OFFSET(Checks_And_Deposits, 11, 5, 1, 1)</f>
        <v>0</v>
      </c>
      <c r="B58" s="108">
        <f ca="1">IF(OFFSET(Checks_And_Deposits, 11, 6, 1, 1)=DATE(1900,1,0), DATE(1900,1,1), OFFSET(Checks_And_Deposits, 11, 6, 1, 1))</f>
        <v>1</v>
      </c>
      <c r="C58" s="166">
        <f ca="1">OFFSET(Checks_And_Deposits, 11, 8, 1, 1)</f>
        <v>0</v>
      </c>
    </row>
    <row r="59" spans="1:3">
      <c r="A59" s="168">
        <f ca="1">OFFSET(Checks_And_Deposits, 12, 5, 1, 1)</f>
        <v>0</v>
      </c>
      <c r="B59" s="108">
        <f ca="1">IF(OFFSET(Checks_And_Deposits, 12, 6, 1, 1)=DATE(1900,1,0), DATE(1900,1,1), OFFSET(Checks_And_Deposits, 12, 6, 1, 1))</f>
        <v>1</v>
      </c>
      <c r="C59" s="166">
        <f ca="1">OFFSET(Checks_And_Deposits, 12, 8, 1, 1)</f>
        <v>0</v>
      </c>
    </row>
    <row r="60" spans="1:3">
      <c r="A60" s="168">
        <f ca="1">OFFSET(Checks_And_Deposits, 13, 5, 1, 1)</f>
        <v>0</v>
      </c>
      <c r="B60" s="108">
        <f ca="1">IF(OFFSET(Checks_And_Deposits, 13, 6, 1, 1)=DATE(1900,1,0), DATE(1900,1,1), OFFSET(Checks_And_Deposits, 13, 6, 1, 1))</f>
        <v>1</v>
      </c>
      <c r="C60" s="166">
        <f ca="1">OFFSET(Checks_And_Deposits, 13, 8, 1, 1)</f>
        <v>0</v>
      </c>
    </row>
    <row r="61" spans="1:3">
      <c r="A61" s="168">
        <f ca="1">OFFSET(Checks_And_Deposits, 14, 5, 1, 1)</f>
        <v>0</v>
      </c>
      <c r="B61" s="108">
        <f ca="1">IF(OFFSET(Checks_And_Deposits, 14, 6, 1, 1)=DATE(1900,1,0), DATE(1900,1,1), OFFSET(Checks_And_Deposits, 14, 6, 1, 1))</f>
        <v>1</v>
      </c>
      <c r="C61" s="166">
        <f ca="1">OFFSET(Checks_And_Deposits, 14, 8, 1, 1)</f>
        <v>0</v>
      </c>
    </row>
    <row r="62" spans="1:3">
      <c r="A62" s="168">
        <f ca="1">OFFSET(Checks_And_Deposits, 15, 5, 1, 1)</f>
        <v>0</v>
      </c>
      <c r="B62" s="108">
        <f ca="1">IF(OFFSET(Checks_And_Deposits, 15, 6, 1, 1)=DATE(1900,1,0), DATE(1900,1,1), OFFSET(Checks_And_Deposits, 15, 6, 1, 1))</f>
        <v>1</v>
      </c>
      <c r="C62" s="166">
        <f ca="1">OFFSET(Checks_And_Deposits, 15, 8, 1, 1)</f>
        <v>0</v>
      </c>
    </row>
    <row r="63" spans="1:3">
      <c r="A63" s="168">
        <f ca="1">OFFSET(Checks_And_Deposits, 16, 5, 1, 1)</f>
        <v>0</v>
      </c>
      <c r="B63" s="108">
        <f ca="1">IF(OFFSET(Checks_And_Deposits, 16, 6, 1, 1)=DATE(1900,1,0), DATE(1900,1,1), OFFSET(Checks_And_Deposits, 16, 6, 1, 1))</f>
        <v>1</v>
      </c>
      <c r="C63" s="166">
        <f ca="1">OFFSET(Checks_And_Deposits, 16, 8, 1, 1)</f>
        <v>0</v>
      </c>
    </row>
    <row r="64" spans="1:3">
      <c r="A64" s="168">
        <f ca="1">OFFSET(Checks_And_Deposits, 17, 5, 1, 1)</f>
        <v>0</v>
      </c>
      <c r="B64" s="108">
        <f ca="1">IF(OFFSET(Checks_And_Deposits, 17, 6, 1, 1)=DATE(1900,1,0), DATE(1900,1,1), OFFSET(Checks_And_Deposits, 17, 6, 1, 1))</f>
        <v>1</v>
      </c>
      <c r="C64" s="166">
        <f ca="1">OFFSET(Checks_And_Deposits, 17, 8, 1, 1)</f>
        <v>0</v>
      </c>
    </row>
    <row r="65" spans="1:3">
      <c r="A65" s="168">
        <f ca="1">OFFSET(Checks_And_Deposits, 18, 5, 1, 1)</f>
        <v>0</v>
      </c>
      <c r="B65" s="108">
        <f ca="1">IF(OFFSET(Checks_And_Deposits, 18, 6, 1, 1)=DATE(1900,1,0), DATE(1900,1,1), OFFSET(Checks_And_Deposits, 18, 6, 1, 1))</f>
        <v>1</v>
      </c>
      <c r="C65" s="166">
        <f ca="1">OFFSET(Checks_And_Deposits, 18, 8, 1, 1)</f>
        <v>0</v>
      </c>
    </row>
    <row r="66" spans="1:3">
      <c r="A66" s="168">
        <f ca="1">OFFSET(Checks_And_Deposits, 19, 5, 1, 1)</f>
        <v>0</v>
      </c>
      <c r="B66" s="108">
        <f ca="1">IF(OFFSET(Checks_And_Deposits, 19, 6, 1, 1)=DATE(1900,1,0), DATE(1900,1,1), OFFSET(Checks_And_Deposits, 19, 6, 1, 1))</f>
        <v>1</v>
      </c>
      <c r="C66" s="166">
        <f ca="1">OFFSET(Checks_And_Deposits, 19, 8, 1, 1)</f>
        <v>0</v>
      </c>
    </row>
    <row r="67" spans="1:3">
      <c r="A67" s="168">
        <f ca="1">OFFSET(Checks_And_Deposits, 20, 5, 1, 1)</f>
        <v>0</v>
      </c>
      <c r="B67" s="108">
        <f ca="1">IF(OFFSET(Checks_And_Deposits, 20, 6, 1, 1)=DATE(1900,1,0), DATE(1900,1,1), OFFSET(Checks_And_Deposits, 20, 6, 1, 1))</f>
        <v>1</v>
      </c>
      <c r="C67" s="166">
        <f ca="1">OFFSET(Checks_And_Deposits, 20, 8, 1, 1)</f>
        <v>0</v>
      </c>
    </row>
    <row r="68" spans="1:3">
      <c r="A68" s="168">
        <f ca="1">OFFSET(Checks_And_Deposits, 21, 5, 1, 1)</f>
        <v>0</v>
      </c>
      <c r="B68" s="108">
        <f ca="1">IF(OFFSET(Checks_And_Deposits, 21, 6, 1, 1)=DATE(1900,1,0), DATE(1900,1,1), OFFSET(Checks_And_Deposits, 21, 6, 1, 1))</f>
        <v>1</v>
      </c>
      <c r="C68" s="166">
        <f ca="1">OFFSET(Checks_And_Deposits, 21, 8, 1, 1)</f>
        <v>0</v>
      </c>
    </row>
    <row r="69" spans="1:3">
      <c r="A69" s="168">
        <f ca="1">OFFSET(Checks_And_Deposits, 22, 5, 1, 1)</f>
        <v>0</v>
      </c>
      <c r="B69" s="108">
        <f ca="1">IF(OFFSET(Checks_And_Deposits, 22, 6, 1, 1)=DATE(1900,1,0), DATE(1900,1,1), OFFSET(Checks_And_Deposits, 22, 6, 1, 1))</f>
        <v>1</v>
      </c>
      <c r="C69" s="166">
        <f ca="1">OFFSET(Checks_And_Deposits, 22, 8, 1, 1)</f>
        <v>0</v>
      </c>
    </row>
    <row r="70" spans="1:3">
      <c r="A70" s="168">
        <f ca="1">OFFSET(Checks_And_Deposits, 23, 5, 1, 1)</f>
        <v>0</v>
      </c>
      <c r="B70" s="108">
        <f ca="1">IF(OFFSET(Checks_And_Deposits, 23, 6, 1, 1)=DATE(1900,1,0), DATE(1900,1,1), OFFSET(Checks_And_Deposits, 23, 6, 1, 1))</f>
        <v>1</v>
      </c>
      <c r="C70" s="166">
        <f ca="1">OFFSET(Checks_And_Deposits, 23, 8, 1, 1)</f>
        <v>0</v>
      </c>
    </row>
    <row r="71" spans="1:3">
      <c r="A71" s="168">
        <f ca="1">OFFSET(Checks_And_Deposits, 24, 5, 1, 1)</f>
        <v>0</v>
      </c>
      <c r="B71" s="108">
        <f ca="1">IF(OFFSET(Checks_And_Deposits, 24, 6, 1, 1)=DATE(1900,1,0), DATE(1900,1,1), OFFSET(Checks_And_Deposits, 24, 6, 1, 1))</f>
        <v>1</v>
      </c>
      <c r="C71" s="166">
        <f ca="1">OFFSET(Checks_And_Deposits, 24, 8, 1, 1)</f>
        <v>0</v>
      </c>
    </row>
    <row r="72" spans="1:3">
      <c r="A72" s="168">
        <f ca="1">OFFSET(Checks_And_Deposits, 25, 5, 1, 1)</f>
        <v>0</v>
      </c>
      <c r="B72" s="108">
        <f ca="1">IF(OFFSET(Checks_And_Deposits, 25, 6, 1, 1)=DATE(1900,1,0), DATE(1900,1,1), OFFSET(Checks_And_Deposits, 25, 6, 1, 1))</f>
        <v>1</v>
      </c>
      <c r="C72" s="166">
        <f ca="1">OFFSET(Checks_And_Deposits, 25, 8, 1, 1)</f>
        <v>0</v>
      </c>
    </row>
    <row r="73" spans="1:3">
      <c r="A73" s="168">
        <f ca="1">OFFSET(Checks_And_Deposits, 26, 5, 1, 1)</f>
        <v>0</v>
      </c>
      <c r="B73" s="108">
        <f ca="1">IF(OFFSET(Checks_And_Deposits, 26, 6, 1, 1)=DATE(1900,1,0), DATE(1900,1,1), OFFSET(Checks_And_Deposits, 26, 6, 1, 1))</f>
        <v>1</v>
      </c>
      <c r="C73" s="166">
        <f ca="1">OFFSET(Checks_And_Deposits, 26, 8, 1, 1)</f>
        <v>0</v>
      </c>
    </row>
    <row r="74" spans="1:3">
      <c r="A74" s="168">
        <f ca="1">OFFSET(Checks_And_Deposits, 27, 5, 1, 1)</f>
        <v>0</v>
      </c>
      <c r="B74" s="108">
        <f ca="1">IF(OFFSET(Checks_And_Deposits, 27, 6, 1, 1)=DATE(1900,1,0), DATE(1900,1,1), OFFSET(Checks_And_Deposits, 27, 6, 1, 1))</f>
        <v>1</v>
      </c>
      <c r="C74" s="166">
        <f ca="1">OFFSET(Checks_And_Deposits, 27, 8, 1, 1)</f>
        <v>0</v>
      </c>
    </row>
    <row r="75" spans="1:3">
      <c r="A75" s="168">
        <f ca="1">OFFSET(Checks_And_Deposits, 28, 5, 1, 1)</f>
        <v>0</v>
      </c>
      <c r="B75" s="108">
        <f ca="1">IF(OFFSET(Checks_And_Deposits, 28, 6, 1, 1)=DATE(1900,1,0), DATE(1900,1,1), OFFSET(Checks_And_Deposits, 28, 6, 1, 1))</f>
        <v>1</v>
      </c>
      <c r="C75" s="166">
        <f ca="1">OFFSET(Checks_And_Deposits, 28, 8, 1, 1)</f>
        <v>0</v>
      </c>
    </row>
    <row r="76" spans="1:3">
      <c r="A76" s="168">
        <f ca="1">OFFSET(Checks_And_Deposits, 29, 5, 1, 1)</f>
        <v>0</v>
      </c>
      <c r="B76" s="108">
        <f ca="1">IF(OFFSET(Checks_And_Deposits, 29, 6, 1, 1)=DATE(1900,1,0), DATE(1900,1,1), OFFSET(Checks_And_Deposits, 29, 6, 1, 1))</f>
        <v>1</v>
      </c>
      <c r="C76" s="166">
        <f ca="1">OFFSET(Checks_And_Deposits, 29, 8, 1, 1)</f>
        <v>0</v>
      </c>
    </row>
    <row r="77" spans="1:3">
      <c r="A77" s="168">
        <f ca="1">OFFSET(Checks_And_Deposits, 0, 10, 1, 1)</f>
        <v>0</v>
      </c>
      <c r="B77" s="108">
        <f ca="1">IF(OFFSET(Checks_And_Deposits, 0, 11, 1, 1)=DATE(1900,1,0), DATE(1900,1,1), OFFSET(Checks_And_Deposits, 0, 11, 1, 1))</f>
        <v>1</v>
      </c>
      <c r="C77" s="166">
        <f ca="1">OFFSET(Checks_And_Deposits, 0, 13, 1, 1)</f>
        <v>0</v>
      </c>
    </row>
    <row r="78" spans="1:3">
      <c r="A78" s="168">
        <f ca="1">OFFSET(Checks_And_Deposits, 1, 10, 1, 1)</f>
        <v>0</v>
      </c>
      <c r="B78" s="108">
        <f ca="1">IF(OFFSET(Checks_And_Deposits, 1, 11, 1, 1)=DATE(1900,1,0), DATE(1900,1,1), OFFSET(Checks_And_Deposits, 1, 11, 1, 1))</f>
        <v>1</v>
      </c>
      <c r="C78" s="166">
        <f ca="1">OFFSET(Checks_And_Deposits, 1, 13, 1, 1)</f>
        <v>0</v>
      </c>
    </row>
    <row r="79" spans="1:3">
      <c r="A79" s="168">
        <f ca="1">OFFSET(Checks_And_Deposits, 2, 10, 1, 1)</f>
        <v>0</v>
      </c>
      <c r="B79" s="108">
        <f ca="1">IF(OFFSET(Checks_And_Deposits, 2, 11, 1, 1)=DATE(1900,1,0), DATE(1900,1,1), OFFSET(Checks_And_Deposits, 2, 11, 1, 1))</f>
        <v>1</v>
      </c>
      <c r="C79" s="166">
        <f ca="1">OFFSET(Checks_And_Deposits, 2, 13, 1, 1)</f>
        <v>0</v>
      </c>
    </row>
    <row r="80" spans="1:3">
      <c r="A80" s="168">
        <f ca="1">OFFSET(Checks_And_Deposits, 3, 10, 1, 1)</f>
        <v>0</v>
      </c>
      <c r="B80" s="108">
        <f ca="1">IF(OFFSET(Checks_And_Deposits, 3, 11, 1, 1)=DATE(1900,1,0), DATE(1900,1,1), OFFSET(Checks_And_Deposits, 3, 11, 1, 1))</f>
        <v>1</v>
      </c>
      <c r="C80" s="166">
        <f ca="1">OFFSET(Checks_And_Deposits, 3, 13, 1, 1)</f>
        <v>0</v>
      </c>
    </row>
    <row r="81" spans="1:3">
      <c r="A81" s="168">
        <f ca="1">OFFSET(Checks_And_Deposits, 4, 10, 1, 1)</f>
        <v>0</v>
      </c>
      <c r="B81" s="108">
        <f ca="1">IF(OFFSET(Checks_And_Deposits, 4, 11, 1, 1)=DATE(1900,1,0), DATE(1900,1,1), OFFSET(Checks_And_Deposits, 4, 11, 1, 1))</f>
        <v>1</v>
      </c>
      <c r="C81" s="166">
        <f ca="1">OFFSET(Checks_And_Deposits, 4, 13, 1, 1)</f>
        <v>0</v>
      </c>
    </row>
    <row r="82" spans="1:3">
      <c r="A82" s="168">
        <f ca="1">OFFSET(Checks_And_Deposits, 5, 10, 1, 1)</f>
        <v>0</v>
      </c>
      <c r="B82" s="108">
        <f ca="1">IF(OFFSET(Checks_And_Deposits, 5, 11, 1, 1)=DATE(1900,1,0), DATE(1900,1,1), OFFSET(Checks_And_Deposits, 5, 11, 1, 1))</f>
        <v>1</v>
      </c>
      <c r="C82" s="166">
        <f ca="1">OFFSET(Checks_And_Deposits, 5, 13, 1, 1)</f>
        <v>0</v>
      </c>
    </row>
    <row r="83" spans="1:3">
      <c r="A83" s="168">
        <f ca="1">OFFSET(Checks_And_Deposits, 6, 10, 1, 1)</f>
        <v>0</v>
      </c>
      <c r="B83" s="108">
        <f ca="1">IF(OFFSET(Checks_And_Deposits, 6, 11, 1, 1)=DATE(1900,1,0), DATE(1900,1,1), OFFSET(Checks_And_Deposits, 6, 11, 1, 1))</f>
        <v>1</v>
      </c>
      <c r="C83" s="166">
        <f ca="1">OFFSET(Checks_And_Deposits, 6, 13, 1, 1)</f>
        <v>0</v>
      </c>
    </row>
    <row r="84" spans="1:3">
      <c r="A84" s="168">
        <f ca="1">OFFSET(Checks_And_Deposits, 7, 10, 1, 1)</f>
        <v>0</v>
      </c>
      <c r="B84" s="108">
        <f ca="1">IF(OFFSET(Checks_And_Deposits, 7, 11, 1, 1)=DATE(1900,1,0), DATE(1900,1,1), OFFSET(Checks_And_Deposits, 7, 11, 1, 1))</f>
        <v>1</v>
      </c>
      <c r="C84" s="166">
        <f ca="1">OFFSET(Checks_And_Deposits, 7, 13, 1, 1)</f>
        <v>0</v>
      </c>
    </row>
    <row r="85" spans="1:3">
      <c r="A85" s="168">
        <f ca="1">OFFSET(Checks_And_Deposits, 8, 10, 1, 1)</f>
        <v>0</v>
      </c>
      <c r="B85" s="108">
        <f ca="1">IF(OFFSET(Checks_And_Deposits, 8, 11, 1, 1)=DATE(1900,1,0), DATE(1900,1,1), OFFSET(Checks_And_Deposits, 8, 11, 1, 1))</f>
        <v>1</v>
      </c>
      <c r="C85" s="166">
        <f ca="1">OFFSET(Checks_And_Deposits, 8, 13, 1, 1)</f>
        <v>0</v>
      </c>
    </row>
    <row r="86" spans="1:3">
      <c r="A86" s="168">
        <f ca="1">OFFSET(Checks_And_Deposits, 9, 10, 1, 1)</f>
        <v>0</v>
      </c>
      <c r="B86" s="108">
        <f ca="1">IF(OFFSET(Checks_And_Deposits, 9, 11, 1, 1)=DATE(1900,1,0), DATE(1900,1,1), OFFSET(Checks_And_Deposits, 9, 11, 1, 1))</f>
        <v>1</v>
      </c>
      <c r="C86" s="166">
        <f ca="1">OFFSET(Checks_And_Deposits, 9, 13, 1, 1)</f>
        <v>0</v>
      </c>
    </row>
    <row r="87" spans="1:3">
      <c r="A87" s="168">
        <f ca="1">OFFSET(Checks_And_Deposits, 10, 10, 1, 1)</f>
        <v>0</v>
      </c>
      <c r="B87" s="108">
        <f ca="1">IF(OFFSET(Checks_And_Deposits, 10, 11, 1, 1)=DATE(1900,1,0), DATE(1900,1,1), OFFSET(Checks_And_Deposits, 10, 11, 1, 1))</f>
        <v>1</v>
      </c>
      <c r="C87" s="166">
        <f ca="1">OFFSET(Checks_And_Deposits, 10, 13, 1, 1)</f>
        <v>0</v>
      </c>
    </row>
    <row r="88" spans="1:3">
      <c r="A88" s="168">
        <f ca="1">OFFSET(Checks_And_Deposits, 11, 10, 1, 1)</f>
        <v>0</v>
      </c>
      <c r="B88" s="108">
        <f ca="1">IF(OFFSET(Checks_And_Deposits, 11, 11, 1, 1)=DATE(1900,1,0), DATE(1900,1,1), OFFSET(Checks_And_Deposits, 11, 11, 1, 1))</f>
        <v>1</v>
      </c>
      <c r="C88" s="166">
        <f ca="1">OFFSET(Checks_And_Deposits, 11, 13, 1, 1)</f>
        <v>0</v>
      </c>
    </row>
    <row r="89" spans="1:3">
      <c r="A89" s="168">
        <f ca="1">OFFSET(Checks_And_Deposits, 12, 10, 1, 1)</f>
        <v>0</v>
      </c>
      <c r="B89" s="108">
        <f ca="1">IF(OFFSET(Checks_And_Deposits, 12, 11, 1, 1)=DATE(1900,1,0), DATE(1900,1,1), OFFSET(Checks_And_Deposits, 12, 11, 1, 1))</f>
        <v>1</v>
      </c>
      <c r="C89" s="166">
        <f ca="1">OFFSET(Checks_And_Deposits, 12, 13, 1, 1)</f>
        <v>0</v>
      </c>
    </row>
    <row r="90" spans="1:3">
      <c r="A90" s="168">
        <f ca="1">OFFSET(Checks_And_Deposits, 13, 10, 1, 1)</f>
        <v>0</v>
      </c>
      <c r="B90" s="108">
        <f ca="1">IF(OFFSET(Checks_And_Deposits, 13, 11, 1, 1)=DATE(1900,1,0), DATE(1900,1,1), OFFSET(Checks_And_Deposits, 13, 11, 1, 1))</f>
        <v>1</v>
      </c>
      <c r="C90" s="166">
        <f ca="1">OFFSET(Checks_And_Deposits, 13, 13, 1, 1)</f>
        <v>0</v>
      </c>
    </row>
    <row r="91" spans="1:3">
      <c r="A91" s="168">
        <f ca="1">OFFSET(Checks_And_Deposits, 14, 10, 1, 1)</f>
        <v>0</v>
      </c>
      <c r="B91" s="108">
        <f ca="1">IF(OFFSET(Checks_And_Deposits, 14, 11, 1, 1)=DATE(1900,1,0), DATE(1900,1,1), OFFSET(Checks_And_Deposits, 14, 11, 1, 1))</f>
        <v>1</v>
      </c>
      <c r="C91" s="166">
        <f ca="1">OFFSET(Checks_And_Deposits, 14, 13, 1, 1)</f>
        <v>0</v>
      </c>
    </row>
    <row r="92" spans="1:3">
      <c r="A92" s="168">
        <f ca="1">OFFSET(Checks_And_Deposits, 15, 10, 1, 1)</f>
        <v>0</v>
      </c>
      <c r="B92" s="108">
        <f ca="1">IF(OFFSET(Checks_And_Deposits, 15, 11, 1, 1)=DATE(1900,1,0), DATE(1900,1,1), OFFSET(Checks_And_Deposits, 15, 11, 1, 1))</f>
        <v>1</v>
      </c>
      <c r="C92" s="166">
        <f ca="1">OFFSET(Checks_And_Deposits, 15, 13, 1, 1)</f>
        <v>0</v>
      </c>
    </row>
    <row r="93" spans="1:3">
      <c r="A93" s="168">
        <f ca="1">OFFSET(Checks_And_Deposits, 16, 10, 1, 1)</f>
        <v>0</v>
      </c>
      <c r="B93" s="108">
        <f ca="1">IF(OFFSET(Checks_And_Deposits, 16, 11, 1, 1)=DATE(1900,1,0), DATE(1900,1,1), OFFSET(Checks_And_Deposits, 16, 11, 1, 1))</f>
        <v>1</v>
      </c>
      <c r="C93" s="166">
        <f ca="1">OFFSET(Checks_And_Deposits, 16, 13, 1, 1)</f>
        <v>0</v>
      </c>
    </row>
    <row r="94" spans="1:3">
      <c r="A94" s="168">
        <f ca="1">OFFSET(Checks_And_Deposits, 17, 10, 1, 1)</f>
        <v>0</v>
      </c>
      <c r="B94" s="108">
        <f ca="1">IF(OFFSET(Checks_And_Deposits, 17, 11, 1, 1)=DATE(1900,1,0), DATE(1900,1,1), OFFSET(Checks_And_Deposits, 17, 11, 1, 1))</f>
        <v>1</v>
      </c>
      <c r="C94" s="166">
        <f ca="1">OFFSET(Checks_And_Deposits, 17, 13, 1, 1)</f>
        <v>0</v>
      </c>
    </row>
    <row r="95" spans="1:3">
      <c r="A95" s="168">
        <f ca="1">OFFSET(Checks_And_Deposits, 18, 10, 1, 1)</f>
        <v>0</v>
      </c>
      <c r="B95" s="108">
        <f ca="1">IF(OFFSET(Checks_And_Deposits, 18, 11, 1, 1)=DATE(1900,1,0), DATE(1900,1,1), OFFSET(Checks_And_Deposits, 18, 11, 1, 1))</f>
        <v>1</v>
      </c>
      <c r="C95" s="166">
        <f ca="1">OFFSET(Checks_And_Deposits, 18, 13, 1, 1)</f>
        <v>0</v>
      </c>
    </row>
    <row r="96" spans="1:3">
      <c r="A96" s="168">
        <f ca="1">OFFSET(Checks_And_Deposits, 19, 10, 1, 1)</f>
        <v>0</v>
      </c>
      <c r="B96" s="108">
        <f ca="1">IF(OFFSET(Checks_And_Deposits, 19, 11, 1, 1)=DATE(1900,1,0), DATE(1900,1,1), OFFSET(Checks_And_Deposits, 19, 11, 1, 1))</f>
        <v>1</v>
      </c>
      <c r="C96" s="166">
        <f ca="1">OFFSET(Checks_And_Deposits, 19, 13, 1, 1)</f>
        <v>0</v>
      </c>
    </row>
    <row r="97" spans="1:3">
      <c r="A97" s="168">
        <f ca="1">OFFSET(Checks_And_Deposits, 20, 10, 1, 1)</f>
        <v>0</v>
      </c>
      <c r="B97" s="108">
        <f ca="1">IF(OFFSET(Checks_And_Deposits, 20, 11, 1, 1)=DATE(1900,1,0), DATE(1900,1,1), OFFSET(Checks_And_Deposits, 20, 11, 1, 1))</f>
        <v>1</v>
      </c>
      <c r="C97" s="166">
        <f ca="1">OFFSET(Checks_And_Deposits, 20, 13, 1, 1)</f>
        <v>0</v>
      </c>
    </row>
    <row r="98" spans="1:3">
      <c r="A98" s="168">
        <f ca="1">OFFSET(Checks_And_Deposits, 21, 10, 1, 1)</f>
        <v>0</v>
      </c>
      <c r="B98" s="108">
        <f ca="1">IF(OFFSET(Checks_And_Deposits, 21, 11, 1, 1)=DATE(1900,1,0), DATE(1900,1,1), OFFSET(Checks_And_Deposits, 21, 11, 1, 1))</f>
        <v>1</v>
      </c>
      <c r="C98" s="166">
        <f ca="1">OFFSET(Checks_And_Deposits, 21, 13, 1, 1)</f>
        <v>0</v>
      </c>
    </row>
    <row r="99" spans="1:3">
      <c r="A99" s="168">
        <f ca="1">OFFSET(Checks_And_Deposits, 22, 10, 1, 1)</f>
        <v>0</v>
      </c>
      <c r="B99" s="108">
        <f ca="1">IF(OFFSET(Checks_And_Deposits, 22, 11, 1, 1)=DATE(1900,1,0), DATE(1900,1,1), OFFSET(Checks_And_Deposits, 22, 11, 1, 1))</f>
        <v>1</v>
      </c>
      <c r="C99" s="166">
        <f ca="1">OFFSET(Checks_And_Deposits, 22, 13, 1, 1)</f>
        <v>0</v>
      </c>
    </row>
    <row r="100" spans="1:3">
      <c r="A100" s="168">
        <f ca="1">OFFSET(Checks_And_Deposits, 23, 10, 1, 1)</f>
        <v>0</v>
      </c>
      <c r="B100" s="108">
        <f ca="1">IF(OFFSET(Checks_And_Deposits, 23, 11, 1, 1)=DATE(1900,1,0), DATE(1900,1,1), OFFSET(Checks_And_Deposits, 23, 11, 1, 1))</f>
        <v>1</v>
      </c>
      <c r="C100" s="166">
        <f ca="1">OFFSET(Checks_And_Deposits, 23, 13, 1, 1)</f>
        <v>0</v>
      </c>
    </row>
    <row r="101" spans="1:3">
      <c r="A101" s="168">
        <f ca="1">OFFSET(Checks_And_Deposits, 24, 10, 1, 1)</f>
        <v>0</v>
      </c>
      <c r="B101" s="108">
        <f ca="1">IF(OFFSET(Checks_And_Deposits, 24, 11, 1, 1)=DATE(1900,1,0), DATE(1900,1,1), OFFSET(Checks_And_Deposits, 24, 11, 1, 1))</f>
        <v>1</v>
      </c>
      <c r="C101" s="166">
        <f ca="1">OFFSET(Checks_And_Deposits, 24, 13, 1, 1)</f>
        <v>0</v>
      </c>
    </row>
    <row r="102" spans="1:3">
      <c r="A102" s="168">
        <f ca="1">OFFSET(Checks_And_Deposits, 25, 10, 1, 1)</f>
        <v>0</v>
      </c>
      <c r="B102" s="108">
        <f ca="1">IF(OFFSET(Checks_And_Deposits, 25, 11, 1, 1)=DATE(1900,1,0), DATE(1900,1,1), OFFSET(Checks_And_Deposits, 25, 11, 1, 1))</f>
        <v>1</v>
      </c>
      <c r="C102" s="166">
        <f ca="1">OFFSET(Checks_And_Deposits, 25, 13, 1, 1)</f>
        <v>0</v>
      </c>
    </row>
    <row r="103" spans="1:3">
      <c r="A103" s="168">
        <f ca="1">OFFSET(Checks_And_Deposits, 26, 10, 1, 1)</f>
        <v>0</v>
      </c>
      <c r="B103" s="108">
        <f ca="1">IF(OFFSET(Checks_And_Deposits, 26, 11, 1, 1)=DATE(1900,1,0), DATE(1900,1,1), OFFSET(Checks_And_Deposits, 26, 11, 1, 1))</f>
        <v>1</v>
      </c>
      <c r="C103" s="166">
        <f ca="1">OFFSET(Checks_And_Deposits, 26, 13, 1, 1)</f>
        <v>0</v>
      </c>
    </row>
    <row r="104" spans="1:3">
      <c r="A104" s="168">
        <f ca="1">OFFSET(Checks_And_Deposits, 27, 10, 1, 1)</f>
        <v>0</v>
      </c>
      <c r="B104" s="108">
        <f ca="1">IF(OFFSET(Checks_And_Deposits, 27, 11, 1, 1)=DATE(1900,1,0), DATE(1900,1,1), OFFSET(Checks_And_Deposits, 27, 11, 1, 1))</f>
        <v>1</v>
      </c>
      <c r="C104" s="166">
        <f ca="1">OFFSET(Checks_And_Deposits, 27, 13, 1, 1)</f>
        <v>0</v>
      </c>
    </row>
    <row r="105" spans="1:3">
      <c r="A105" s="168">
        <f ca="1">OFFSET(Checks_And_Deposits, 28, 10, 1, 1)</f>
        <v>0</v>
      </c>
      <c r="B105" s="108">
        <f ca="1">IF(OFFSET(Checks_And_Deposits, 28, 11, 1, 1)=DATE(1900,1,0), DATE(1900,1,1), OFFSET(Checks_And_Deposits, 28, 11, 1, 1))</f>
        <v>1</v>
      </c>
      <c r="C105" s="166">
        <f ca="1">OFFSET(Checks_And_Deposits, 28, 13, 1, 1)</f>
        <v>0</v>
      </c>
    </row>
    <row r="106" spans="1:3" ht="15" thickBot="1">
      <c r="A106" s="169">
        <f ca="1">OFFSET(Checks_And_Deposits, 29, 10, 1, 1)</f>
        <v>0</v>
      </c>
      <c r="B106" s="110">
        <f ca="1">IF(OFFSET(Checks_And_Deposits, 29, 11, 1, 1)=DATE(1900,1,0), DATE(1900,1,1), OFFSET(Checks_And_Deposits, 29, 11, 1, 1))</f>
        <v>1</v>
      </c>
      <c r="C106" s="167">
        <f ca="1">OFFSET(Checks_And_Deposits, 29, 13, 1, 1)</f>
        <v>0</v>
      </c>
    </row>
    <row r="107" spans="1:3" s="233" customFormat="1"/>
    <row r="108" spans="1:3" s="233" customFormat="1" ht="15" thickBot="1">
      <c r="A108" t="s">
        <v>905</v>
      </c>
      <c r="B108"/>
    </row>
    <row r="109" spans="1:3" s="233" customFormat="1">
      <c r="A109" s="104" t="s">
        <v>822</v>
      </c>
      <c r="B109" s="106" t="s">
        <v>151</v>
      </c>
    </row>
    <row r="110" spans="1:3" s="233" customFormat="1">
      <c r="A110" s="108">
        <f ca="1">IF(OFFSET(Deposits_In_Transit, 0, 0, 1, 1)=DATE(1900,1,0), DATE(1900,1,1), OFFSET(Deposits_In_Transit, 0, 0, 1, 1))</f>
        <v>1</v>
      </c>
      <c r="B110" s="166">
        <f ca="1">OFFSET(Deposits_In_Transit, 0, 2, 1, 1)</f>
        <v>0</v>
      </c>
    </row>
    <row r="111" spans="1:3" s="233" customFormat="1">
      <c r="A111" s="108">
        <f ca="1">IF(OFFSET(Deposits_In_Transit, 1, 0, 1, 1)=DATE(1900,1,0), DATE(1900,1,1), OFFSET(Deposits_In_Transit, 1, 0, 1, 1))</f>
        <v>1</v>
      </c>
      <c r="B111" s="166">
        <f ca="1">OFFSET(Deposits_In_Transit, 1, 2, 1, 1)</f>
        <v>0</v>
      </c>
    </row>
    <row r="112" spans="1:3" s="233" customFormat="1">
      <c r="A112" s="108">
        <f ca="1">IF(OFFSET(Deposits_In_Transit, 2, 0, 1, 1)=DATE(1900,1,0), DATE(1900,1,1), OFFSET(Deposits_In_Transit, 2, 0, 1, 1))</f>
        <v>1</v>
      </c>
      <c r="B112" s="166">
        <f ca="1">OFFSET(Deposits_In_Transit, 2, 2, 1, 1)</f>
        <v>0</v>
      </c>
    </row>
    <row r="113" spans="1:2" s="233" customFormat="1">
      <c r="A113" s="108">
        <f ca="1">IF(OFFSET(Deposits_In_Transit, 3, 0, 1, 1)=DATE(1900,1,0), DATE(1900,1,1), OFFSET(Deposits_In_Transit, 3, 0, 1, 1))</f>
        <v>1</v>
      </c>
      <c r="B113" s="166">
        <f ca="1">OFFSET(Deposits_In_Transit, 3, 2, 1, 1)</f>
        <v>0</v>
      </c>
    </row>
    <row r="114" spans="1:2" s="233" customFormat="1">
      <c r="A114" s="108">
        <f ca="1">IF(OFFSET(Deposits_In_Transit, 4, 0, 1, 1)=DATE(1900,1,0), DATE(1900,1,1), OFFSET(Deposits_In_Transit, 4, 0, 1, 1))</f>
        <v>1</v>
      </c>
      <c r="B114" s="166">
        <f ca="1">OFFSET(Deposits_In_Transit, 4, 2, 1, 1)</f>
        <v>0</v>
      </c>
    </row>
    <row r="115" spans="1:2" s="233" customFormat="1">
      <c r="A115" s="108">
        <f ca="1">IF(OFFSET(Deposits_In_Transit, 5, 0, 1, 1)=DATE(1900,1,0), DATE(1900,1,1), OFFSET(Deposits_In_Transit, 5, 0, 1, 1))</f>
        <v>1</v>
      </c>
      <c r="B115" s="166">
        <f ca="1">OFFSET(Deposits_In_Transit, 5, 2, 1, 1)</f>
        <v>0</v>
      </c>
    </row>
    <row r="116" spans="1:2" s="233" customFormat="1">
      <c r="A116" s="108">
        <f ca="1">IF(OFFSET(Deposits_In_Transit, 6, 0, 1, 1)=DATE(1900,1,0), DATE(1900,1,1), OFFSET(Deposits_In_Transit, 6, 0, 1, 1))</f>
        <v>1</v>
      </c>
      <c r="B116" s="166">
        <f ca="1">OFFSET(Deposits_In_Transit, 6, 2, 1, 1)</f>
        <v>0</v>
      </c>
    </row>
    <row r="117" spans="1:2" s="233" customFormat="1">
      <c r="A117" s="108">
        <f ca="1">IF(OFFSET(Deposits_In_Transit, 7, 0, 1, 1)=DATE(1900,1,0), DATE(1900,1,1), OFFSET(Deposits_In_Transit, 7, 0, 1, 1))</f>
        <v>1</v>
      </c>
      <c r="B117" s="166">
        <f ca="1">OFFSET(Deposits_In_Transit, 7, 2, 1, 1)</f>
        <v>0</v>
      </c>
    </row>
    <row r="118" spans="1:2" s="233" customFormat="1">
      <c r="A118" s="108">
        <f ca="1">IF(OFFSET(Deposits_In_Transit, 8, 0, 1, 1)=DATE(1900,1,0), DATE(1900,1,1), OFFSET(Deposits_In_Transit, 8, 0, 1, 1))</f>
        <v>1</v>
      </c>
      <c r="B118" s="166">
        <f ca="1">OFFSET(Deposits_In_Transit, 8, 2, 1, 1)</f>
        <v>0</v>
      </c>
    </row>
    <row r="119" spans="1:2" s="233" customFormat="1">
      <c r="A119" s="108">
        <f ca="1">IF(OFFSET(Deposits_In_Transit, 9, 0, 1, 1)=DATE(1900,1,0), DATE(1900,1,1), OFFSET(Deposits_In_Transit, 9, 0, 1, 1))</f>
        <v>1</v>
      </c>
      <c r="B119" s="166">
        <f ca="1">OFFSET(Deposits_In_Transit, 9, 2, 1, 1)</f>
        <v>0</v>
      </c>
    </row>
    <row r="120" spans="1:2" s="233" customFormat="1">
      <c r="A120" s="108">
        <f ca="1">IF(OFFSET(Deposits_In_Transit, 10, 0, 1, 1)=DATE(1900,1,0), DATE(1900,1,1), OFFSET(Deposits_In_Transit, 10, 0, 1, 1))</f>
        <v>1</v>
      </c>
      <c r="B120" s="166">
        <f ca="1">OFFSET(Deposits_In_Transit, 10, 2, 1, 1)</f>
        <v>0</v>
      </c>
    </row>
    <row r="121" spans="1:2" s="233" customFormat="1">
      <c r="A121" s="108">
        <f ca="1">IF(OFFSET(Deposits_In_Transit, 11, 0, 1, 1)=DATE(1900,1,0), DATE(1900,1,1), OFFSET(Deposits_In_Transit, 11, 0, 1, 1))</f>
        <v>1</v>
      </c>
      <c r="B121" s="166">
        <f ca="1">OFFSET(Deposits_In_Transit, 11, 2, 1, 1)</f>
        <v>0</v>
      </c>
    </row>
    <row r="122" spans="1:2" s="233" customFormat="1">
      <c r="A122" s="108">
        <f ca="1">IF(OFFSET(Deposits_In_Transit, 12, 0, 1, 1)=DATE(1900,1,0), DATE(1900,1,1), OFFSET(Deposits_In_Transit, 12, 0, 1, 1))</f>
        <v>1</v>
      </c>
      <c r="B122" s="166">
        <f ca="1">OFFSET(Deposits_In_Transit, 12, 2, 1, 1)</f>
        <v>0</v>
      </c>
    </row>
    <row r="123" spans="1:2" s="233" customFormat="1">
      <c r="A123" s="108">
        <f ca="1">IF(OFFSET(Deposits_In_Transit, 13, 0, 1, 1)=DATE(1900,1,0), DATE(1900,1,1), OFFSET(Deposits_In_Transit, 13, 0, 1, 1))</f>
        <v>1</v>
      </c>
      <c r="B123" s="166">
        <f ca="1">OFFSET(Deposits_In_Transit, 13, 2, 1, 1)</f>
        <v>0</v>
      </c>
    </row>
    <row r="124" spans="1:2" s="233" customFormat="1">
      <c r="A124" s="108">
        <f ca="1">IF(OFFSET(Deposits_In_Transit, 14, 0, 1, 1)=DATE(1900,1,0), DATE(1900,1,1), OFFSET(Deposits_In_Transit, 14, 0, 1, 1))</f>
        <v>1</v>
      </c>
      <c r="B124" s="166">
        <f ca="1">OFFSET(Deposits_In_Transit, 14, 2, 1, 1)</f>
        <v>0</v>
      </c>
    </row>
    <row r="125" spans="1:2" s="233" customFormat="1">
      <c r="A125" s="108">
        <f ca="1">IF(OFFSET(Deposits_In_Transit, 15, 0, 1, 1)=DATE(1900,1,0), DATE(1900,1,1), OFFSET(Deposits_In_Transit, 15, 0, 1, 1))</f>
        <v>1</v>
      </c>
      <c r="B125" s="166">
        <f ca="1">OFFSET(Deposits_In_Transit, 15, 2, 1, 1)</f>
        <v>0</v>
      </c>
    </row>
    <row r="126" spans="1:2" s="233" customFormat="1">
      <c r="A126" s="108">
        <f ca="1">IF(OFFSET(Deposits_In_Transit, 16, 0, 1, 1)=DATE(1900,1,0), DATE(1900,1,1), OFFSET(Deposits_In_Transit, 16, 0, 1, 1))</f>
        <v>1</v>
      </c>
      <c r="B126" s="166">
        <f ca="1">OFFSET(Deposits_In_Transit, 16, 2, 1, 1)</f>
        <v>0</v>
      </c>
    </row>
    <row r="127" spans="1:2" s="233" customFormat="1">
      <c r="A127" s="108">
        <f ca="1">IF(OFFSET(Deposits_In_Transit, 17, 0, 1, 1)=DATE(1900,1,0), DATE(1900,1,1), OFFSET(Deposits_In_Transit, 17, 0, 1, 1))</f>
        <v>1</v>
      </c>
      <c r="B127" s="166">
        <f ca="1">OFFSET(Deposits_In_Transit, 17, 2, 1, 1)</f>
        <v>0</v>
      </c>
    </row>
    <row r="128" spans="1:2" s="233" customFormat="1">
      <c r="A128" s="108">
        <f ca="1">IF(OFFSET(Deposits_In_Transit, 18, 0, 1, 1)=DATE(1900,1,0), DATE(1900,1,1), OFFSET(Deposits_In_Transit, 18, 0, 1, 1))</f>
        <v>1</v>
      </c>
      <c r="B128" s="166">
        <f ca="1">OFFSET(Deposits_In_Transit, 18, 2, 1, 1)</f>
        <v>0</v>
      </c>
    </row>
    <row r="129" spans="1:2" s="233" customFormat="1">
      <c r="A129" s="108">
        <f ca="1">IF(OFFSET(Deposits_In_Transit, 19, 0, 1, 1)=DATE(1900,1,0), DATE(1900,1,1), OFFSET(Deposits_In_Transit, 19, 0, 1, 1))</f>
        <v>1</v>
      </c>
      <c r="B129" s="166">
        <f ca="1">OFFSET(Deposits_In_Transit, 19, 2, 1, 1)</f>
        <v>0</v>
      </c>
    </row>
    <row r="130" spans="1:2" s="233" customFormat="1">
      <c r="A130" s="108">
        <f ca="1">IF(OFFSET(Deposits_In_Transit, 20, 0, 1, 1)=DATE(1900,1,0), DATE(1900,1,1), OFFSET(Deposits_In_Transit, 20, 0, 1, 1))</f>
        <v>1</v>
      </c>
      <c r="B130" s="166">
        <f ca="1">OFFSET(Deposits_In_Transit, 20, 2, 1, 1)</f>
        <v>0</v>
      </c>
    </row>
    <row r="131" spans="1:2" s="233" customFormat="1">
      <c r="A131" s="108">
        <f ca="1">IF(OFFSET(Deposits_In_Transit, 21, 0, 1, 1)=DATE(1900,1,0), DATE(1900,1,1), OFFSET(Deposits_In_Transit, 21, 0, 1, 1))</f>
        <v>1</v>
      </c>
      <c r="B131" s="166">
        <f ca="1">OFFSET(Deposits_In_Transit, 21, 2, 1, 1)</f>
        <v>0</v>
      </c>
    </row>
    <row r="132" spans="1:2" s="233" customFormat="1">
      <c r="A132" s="108">
        <f ca="1">IF(OFFSET(Deposits_In_Transit, 22, 0, 1, 1)=DATE(1900,1,0), DATE(1900,1,1), OFFSET(Deposits_In_Transit, 22, 0, 1, 1))</f>
        <v>1</v>
      </c>
      <c r="B132" s="166">
        <f ca="1">OFFSET(Deposits_In_Transit, 22, 2, 1, 1)</f>
        <v>0</v>
      </c>
    </row>
    <row r="133" spans="1:2" s="233" customFormat="1">
      <c r="A133" s="108">
        <f ca="1">IF(OFFSET(Deposits_In_Transit, 23, 0, 1, 1)=DATE(1900,1,0), DATE(1900,1,1), OFFSET(Deposits_In_Transit, 23, 0, 1, 1))</f>
        <v>1</v>
      </c>
      <c r="B133" s="166">
        <f ca="1">OFFSET(Deposits_In_Transit, 23, 2, 1, 1)</f>
        <v>0</v>
      </c>
    </row>
    <row r="134" spans="1:2" s="233" customFormat="1">
      <c r="A134" s="108">
        <f ca="1">IF(OFFSET(Deposits_In_Transit, 24, 0, 1, 1)=DATE(1900,1,0), DATE(1900,1,1), OFFSET(Deposits_In_Transit, 24, 0, 1, 1))</f>
        <v>1</v>
      </c>
      <c r="B134" s="166">
        <f ca="1">OFFSET(Deposits_In_Transit, 24, 2, 1, 1)</f>
        <v>0</v>
      </c>
    </row>
    <row r="135" spans="1:2" s="233" customFormat="1">
      <c r="A135" s="108">
        <f ca="1">IF(OFFSET(Deposits_In_Transit, 25, 0, 1, 1)=DATE(1900,1,0), DATE(1900,1,1), OFFSET(Deposits_In_Transit, 25, 0, 1, 1))</f>
        <v>1</v>
      </c>
      <c r="B135" s="166">
        <f ca="1">OFFSET(Deposits_In_Transit, 25, 2, 1, 1)</f>
        <v>0</v>
      </c>
    </row>
    <row r="136" spans="1:2" s="233" customFormat="1">
      <c r="A136" s="108">
        <f ca="1">IF(OFFSET(Deposits_In_Transit, 26, 0, 1, 1)=DATE(1900,1,0), DATE(1900,1,1), OFFSET(Deposits_In_Transit, 26, 0, 1, 1))</f>
        <v>1</v>
      </c>
      <c r="B136" s="166">
        <f ca="1">OFFSET(Deposits_In_Transit, 26, 2, 1, 1)</f>
        <v>0</v>
      </c>
    </row>
    <row r="137" spans="1:2" s="233" customFormat="1">
      <c r="A137" s="108">
        <f ca="1">IF(OFFSET(Deposits_In_Transit, 27, 0, 1, 1)=DATE(1900,1,0), DATE(1900,1,1), OFFSET(Deposits_In_Transit, 27, 0, 1, 1))</f>
        <v>1</v>
      </c>
      <c r="B137" s="166">
        <f ca="1">OFFSET(Deposits_In_Transit, 27, 2, 1, 1)</f>
        <v>0</v>
      </c>
    </row>
    <row r="138" spans="1:2" s="233" customFormat="1">
      <c r="A138" s="108">
        <f ca="1">IF(OFFSET(Deposits_In_Transit, 28, 0, 1, 1)=DATE(1900,1,0), DATE(1900,1,1), OFFSET(Deposits_In_Transit, 28, 0, 1, 1))</f>
        <v>1</v>
      </c>
      <c r="B138" s="166">
        <f ca="1">OFFSET(Deposits_In_Transit, 28, 2, 1, 1)</f>
        <v>0</v>
      </c>
    </row>
    <row r="139" spans="1:2" s="233" customFormat="1">
      <c r="A139" s="108">
        <f ca="1">IF(OFFSET(Deposits_In_Transit, 29, 0, 1, 1)=DATE(1900,1,0), DATE(1900,1,1), OFFSET(Deposits_In_Transit, 29, 0, 1, 1))</f>
        <v>1</v>
      </c>
      <c r="B139" s="166">
        <f ca="1">OFFSET(Deposits_In_Transit, 29, 2, 1, 1)</f>
        <v>0</v>
      </c>
    </row>
    <row r="140" spans="1:2" s="233" customFormat="1">
      <c r="A140" s="108">
        <f ca="1">IF(OFFSET(Deposits_In_Transit, 0, 4, 1, 1)=DATE(1900,1,0), DATE(1900,1,1), OFFSET(Deposits_In_Transit, 0, 4, 1, 1))</f>
        <v>1</v>
      </c>
      <c r="B140" s="166">
        <f ca="1">OFFSET(Deposits_In_Transit, 0, 6, 1, 1)</f>
        <v>0</v>
      </c>
    </row>
    <row r="141" spans="1:2" s="233" customFormat="1">
      <c r="A141" s="108">
        <f ca="1">IF(OFFSET(Deposits_In_Transit, 1, 4, 1, 1)=DATE(1900,1,0), DATE(1900,1,1), OFFSET(Deposits_In_Transit, 1, 4, 1, 1))</f>
        <v>1</v>
      </c>
      <c r="B141" s="166">
        <f ca="1">OFFSET(Deposits_In_Transit, 1, 6, 1, 1)</f>
        <v>0</v>
      </c>
    </row>
    <row r="142" spans="1:2" s="233" customFormat="1">
      <c r="A142" s="108">
        <f ca="1">IF(OFFSET(Deposits_In_Transit, 2, 4, 1, 1)=DATE(1900,1,0), DATE(1900,1,1), OFFSET(Deposits_In_Transit, 2, 4, 1, 1))</f>
        <v>1</v>
      </c>
      <c r="B142" s="166">
        <f ca="1">OFFSET(Deposits_In_Transit, 2, 6, 1, 1)</f>
        <v>0</v>
      </c>
    </row>
    <row r="143" spans="1:2" s="233" customFormat="1">
      <c r="A143" s="108">
        <f ca="1">IF(OFFSET(Deposits_In_Transit, 3, 4, 1, 1)=DATE(1900,1,0), DATE(1900,1,1), OFFSET(Deposits_In_Transit, 3, 4, 1, 1))</f>
        <v>1</v>
      </c>
      <c r="B143" s="166">
        <f ca="1">OFFSET(Deposits_In_Transit, 3, 6, 1, 1)</f>
        <v>0</v>
      </c>
    </row>
    <row r="144" spans="1:2" s="233" customFormat="1">
      <c r="A144" s="108">
        <f ca="1">IF(OFFSET(Deposits_In_Transit, 4, 4, 1, 1)=DATE(1900,1,0), DATE(1900,1,1), OFFSET(Deposits_In_Transit, 4, 4, 1, 1))</f>
        <v>1</v>
      </c>
      <c r="B144" s="166">
        <f ca="1">OFFSET(Deposits_In_Transit, 4, 6, 1, 1)</f>
        <v>0</v>
      </c>
    </row>
    <row r="145" spans="1:2" s="233" customFormat="1">
      <c r="A145" s="108">
        <f ca="1">IF(OFFSET(Deposits_In_Transit, 5, 4, 1, 1)=DATE(1900,1,0), DATE(1900,1,1), OFFSET(Deposits_In_Transit, 5, 4, 1, 1))</f>
        <v>1</v>
      </c>
      <c r="B145" s="166">
        <f ca="1">OFFSET(Deposits_In_Transit, 5, 6, 1, 1)</f>
        <v>0</v>
      </c>
    </row>
    <row r="146" spans="1:2" s="233" customFormat="1">
      <c r="A146" s="108">
        <f ca="1">IF(OFFSET(Deposits_In_Transit, 6, 4, 1, 1)=DATE(1900,1,0), DATE(1900,1,1), OFFSET(Deposits_In_Transit, 6, 4, 1, 1))</f>
        <v>1</v>
      </c>
      <c r="B146" s="166">
        <f ca="1">OFFSET(Deposits_In_Transit, 6, 6, 1, 1)</f>
        <v>0</v>
      </c>
    </row>
    <row r="147" spans="1:2" s="233" customFormat="1">
      <c r="A147" s="108">
        <f ca="1">IF(OFFSET(Deposits_In_Transit, 7, 4, 1, 1)=DATE(1900,1,0), DATE(1900,1,1), OFFSET(Deposits_In_Transit, 7, 4, 1, 1))</f>
        <v>1</v>
      </c>
      <c r="B147" s="166">
        <f ca="1">OFFSET(Deposits_In_Transit, 7, 6, 1, 1)</f>
        <v>0</v>
      </c>
    </row>
    <row r="148" spans="1:2" s="233" customFormat="1">
      <c r="A148" s="108">
        <f ca="1">IF(OFFSET(Deposits_In_Transit, 8, 4, 1, 1)=DATE(1900,1,0), DATE(1900,1,1), OFFSET(Deposits_In_Transit, 8, 4, 1, 1))</f>
        <v>1</v>
      </c>
      <c r="B148" s="166">
        <f ca="1">OFFSET(Deposits_In_Transit, 8, 6, 1, 1)</f>
        <v>0</v>
      </c>
    </row>
    <row r="149" spans="1:2" s="233" customFormat="1">
      <c r="A149" s="108">
        <f ca="1">IF(OFFSET(Deposits_In_Transit, 9, 4, 1, 1)=DATE(1900,1,0), DATE(1900,1,1), OFFSET(Deposits_In_Transit, 9, 4, 1, 1))</f>
        <v>1</v>
      </c>
      <c r="B149" s="166">
        <f ca="1">OFFSET(Deposits_In_Transit, 9, 6, 1, 1)</f>
        <v>0</v>
      </c>
    </row>
    <row r="150" spans="1:2" s="233" customFormat="1">
      <c r="A150" s="108">
        <f ca="1">IF(OFFSET(Deposits_In_Transit, 10, 4, 1, 1)=DATE(1900,1,0), DATE(1900,1,1), OFFSET(Deposits_In_Transit, 10, 4, 1, 1))</f>
        <v>1</v>
      </c>
      <c r="B150" s="166">
        <f ca="1">OFFSET(Deposits_In_Transit, 10, 6, 1, 1)</f>
        <v>0</v>
      </c>
    </row>
    <row r="151" spans="1:2" s="233" customFormat="1">
      <c r="A151" s="108">
        <f ca="1">IF(OFFSET(Deposits_In_Transit, 11, 4, 1, 1)=DATE(1900,1,0), DATE(1900,1,1), OFFSET(Deposits_In_Transit, 11, 4, 1, 1))</f>
        <v>1</v>
      </c>
      <c r="B151" s="166">
        <f ca="1">OFFSET(Deposits_In_Transit, 11, 6, 1, 1)</f>
        <v>0</v>
      </c>
    </row>
    <row r="152" spans="1:2" s="233" customFormat="1">
      <c r="A152" s="108">
        <f ca="1">IF(OFFSET(Deposits_In_Transit, 12, 4, 1, 1)=DATE(1900,1,0), DATE(1900,1,1), OFFSET(Deposits_In_Transit, 12, 4, 1, 1))</f>
        <v>1</v>
      </c>
      <c r="B152" s="166">
        <f ca="1">OFFSET(Deposits_In_Transit, 12, 6, 1, 1)</f>
        <v>0</v>
      </c>
    </row>
    <row r="153" spans="1:2" s="233" customFormat="1">
      <c r="A153" s="108">
        <f ca="1">IF(OFFSET(Deposits_In_Transit, 13, 4, 1, 1)=DATE(1900,1,0), DATE(1900,1,1), OFFSET(Deposits_In_Transit, 13, 4, 1, 1))</f>
        <v>1</v>
      </c>
      <c r="B153" s="166">
        <f ca="1">OFFSET(Deposits_In_Transit, 13, 6, 1, 1)</f>
        <v>0</v>
      </c>
    </row>
    <row r="154" spans="1:2" s="233" customFormat="1">
      <c r="A154" s="108">
        <f ca="1">IF(OFFSET(Deposits_In_Transit, 14, 4, 1, 1)=DATE(1900,1,0), DATE(1900,1,1), OFFSET(Deposits_In_Transit, 14, 4, 1, 1))</f>
        <v>1</v>
      </c>
      <c r="B154" s="166">
        <f ca="1">OFFSET(Deposits_In_Transit, 14, 6, 1, 1)</f>
        <v>0</v>
      </c>
    </row>
    <row r="155" spans="1:2" s="233" customFormat="1">
      <c r="A155" s="108">
        <f ca="1">IF(OFFSET(Deposits_In_Transit, 15, 4, 1, 1)=DATE(1900,1,0), DATE(1900,1,1), OFFSET(Deposits_In_Transit, 15, 4, 1, 1))</f>
        <v>1</v>
      </c>
      <c r="B155" s="166">
        <f ca="1">OFFSET(Deposits_In_Transit, 15, 6, 1, 1)</f>
        <v>0</v>
      </c>
    </row>
    <row r="156" spans="1:2" s="233" customFormat="1">
      <c r="A156" s="108">
        <f ca="1">IF(OFFSET(Deposits_In_Transit, 16, 4, 1, 1)=DATE(1900,1,0), DATE(1900,1,1), OFFSET(Deposits_In_Transit, 16, 4, 1, 1))</f>
        <v>1</v>
      </c>
      <c r="B156" s="166">
        <f ca="1">OFFSET(Deposits_In_Transit, 16, 6, 1, 1)</f>
        <v>0</v>
      </c>
    </row>
    <row r="157" spans="1:2" s="233" customFormat="1">
      <c r="A157" s="108">
        <f ca="1">IF(OFFSET(Deposits_In_Transit, 17, 4, 1, 1)=DATE(1900,1,0), DATE(1900,1,1), OFFSET(Deposits_In_Transit, 17, 4, 1, 1))</f>
        <v>1</v>
      </c>
      <c r="B157" s="166">
        <f ca="1">OFFSET(Deposits_In_Transit, 17, 6, 1, 1)</f>
        <v>0</v>
      </c>
    </row>
    <row r="158" spans="1:2" s="233" customFormat="1">
      <c r="A158" s="108">
        <f ca="1">IF(OFFSET(Deposits_In_Transit, 18, 4, 1, 1)=DATE(1900,1,0), DATE(1900,1,1), OFFSET(Deposits_In_Transit, 18, 4, 1, 1))</f>
        <v>1</v>
      </c>
      <c r="B158" s="166">
        <f ca="1">OFFSET(Deposits_In_Transit, 18, 6, 1, 1)</f>
        <v>0</v>
      </c>
    </row>
    <row r="159" spans="1:2" s="233" customFormat="1">
      <c r="A159" s="108">
        <f ca="1">IF(OFFSET(Deposits_In_Transit, 19, 4, 1, 1)=DATE(1900,1,0), DATE(1900,1,1), OFFSET(Deposits_In_Transit, 19, 4, 1, 1))</f>
        <v>1</v>
      </c>
      <c r="B159" s="166">
        <f ca="1">OFFSET(Deposits_In_Transit, 19, 6, 1, 1)</f>
        <v>0</v>
      </c>
    </row>
    <row r="160" spans="1:2" s="233" customFormat="1">
      <c r="A160" s="108">
        <f ca="1">IF(OFFSET(Deposits_In_Transit, 20, 4, 1, 1)=DATE(1900,1,0), DATE(1900,1,1), OFFSET(Deposits_In_Transit, 20, 4, 1, 1))</f>
        <v>1</v>
      </c>
      <c r="B160" s="166">
        <f ca="1">OFFSET(Deposits_In_Transit, 20, 6, 1, 1)</f>
        <v>0</v>
      </c>
    </row>
    <row r="161" spans="1:2" s="233" customFormat="1">
      <c r="A161" s="108">
        <f ca="1">IF(OFFSET(Deposits_In_Transit, 21, 4, 1, 1)=DATE(1900,1,0), DATE(1900,1,1), OFFSET(Deposits_In_Transit, 21, 4, 1, 1))</f>
        <v>1</v>
      </c>
      <c r="B161" s="166">
        <f ca="1">OFFSET(Deposits_In_Transit, 21, 6, 1, 1)</f>
        <v>0</v>
      </c>
    </row>
    <row r="162" spans="1:2" s="233" customFormat="1">
      <c r="A162" s="108">
        <f ca="1">IF(OFFSET(Deposits_In_Transit, 22, 4, 1, 1)=DATE(1900,1,0), DATE(1900,1,1), OFFSET(Deposits_In_Transit, 22, 4, 1, 1))</f>
        <v>1</v>
      </c>
      <c r="B162" s="166">
        <f ca="1">OFFSET(Deposits_In_Transit, 22, 6, 1, 1)</f>
        <v>0</v>
      </c>
    </row>
    <row r="163" spans="1:2" s="233" customFormat="1">
      <c r="A163" s="108">
        <f ca="1">IF(OFFSET(Deposits_In_Transit, 23, 4, 1, 1)=DATE(1900,1,0), DATE(1900,1,1), OFFSET(Deposits_In_Transit, 23, 4, 1, 1))</f>
        <v>1</v>
      </c>
      <c r="B163" s="166">
        <f ca="1">OFFSET(Deposits_In_Transit, 23, 6, 1, 1)</f>
        <v>0</v>
      </c>
    </row>
    <row r="164" spans="1:2" s="233" customFormat="1">
      <c r="A164" s="108">
        <f ca="1">IF(OFFSET(Deposits_In_Transit, 24, 4, 1, 1)=DATE(1900,1,0), DATE(1900,1,1), OFFSET(Deposits_In_Transit, 24, 4, 1, 1))</f>
        <v>1</v>
      </c>
      <c r="B164" s="166">
        <f ca="1">OFFSET(Deposits_In_Transit, 24, 6, 1, 1)</f>
        <v>0</v>
      </c>
    </row>
    <row r="165" spans="1:2" s="233" customFormat="1">
      <c r="A165" s="108">
        <f ca="1">IF(OFFSET(Deposits_In_Transit, 25, 4, 1, 1)=DATE(1900,1,0), DATE(1900,1,1), OFFSET(Deposits_In_Transit, 25, 4, 1, 1))</f>
        <v>1</v>
      </c>
      <c r="B165" s="166">
        <f ca="1">OFFSET(Deposits_In_Transit, 25, 6, 1, 1)</f>
        <v>0</v>
      </c>
    </row>
    <row r="166" spans="1:2" s="233" customFormat="1">
      <c r="A166" s="108">
        <f ca="1">IF(OFFSET(Deposits_In_Transit, 26, 4, 1, 1)=DATE(1900,1,0), DATE(1900,1,1), OFFSET(Deposits_In_Transit, 26, 4, 1, 1))</f>
        <v>1</v>
      </c>
      <c r="B166" s="166">
        <f ca="1">OFFSET(Deposits_In_Transit, 26, 6, 1, 1)</f>
        <v>0</v>
      </c>
    </row>
    <row r="167" spans="1:2" s="233" customFormat="1">
      <c r="A167" s="108">
        <f ca="1">IF(OFFSET(Deposits_In_Transit, 27, 4, 1, 1)=DATE(1900,1,0), DATE(1900,1,1), OFFSET(Deposits_In_Transit, 27, 4, 1, 1))</f>
        <v>1</v>
      </c>
      <c r="B167" s="166">
        <f ca="1">OFFSET(Deposits_In_Transit, 27, 6, 1, 1)</f>
        <v>0</v>
      </c>
    </row>
    <row r="168" spans="1:2" s="233" customFormat="1">
      <c r="A168" s="108">
        <f ca="1">IF(OFFSET(Deposits_In_Transit, 28, 4, 1, 1)=DATE(1900,1,0), DATE(1900,1,1), OFFSET(Deposits_In_Transit, 28, 4, 1, 1))</f>
        <v>1</v>
      </c>
      <c r="B168" s="166">
        <f ca="1">OFFSET(Deposits_In_Transit, 28, 6, 1, 1)</f>
        <v>0</v>
      </c>
    </row>
    <row r="169" spans="1:2" s="233" customFormat="1">
      <c r="A169" s="108">
        <f ca="1">IF(OFFSET(Deposits_In_Transit, 29, 4, 1, 1)=DATE(1900,1,0), DATE(1900,1,1), OFFSET(Deposits_In_Transit, 29, 4, 1, 1))</f>
        <v>1</v>
      </c>
      <c r="B169" s="166">
        <f ca="1">OFFSET(Deposits_In_Transit, 29, 6, 1, 1)</f>
        <v>0</v>
      </c>
    </row>
    <row r="170" spans="1:2" s="233" customFormat="1">
      <c r="A170" s="108">
        <f ca="1">IF(OFFSET(Deposits_In_Transit, 0, 8, 1, 1)=DATE(1900,1,0), DATE(1900,1,1), OFFSET(Deposits_In_Transit, 0, 8, 1, 1))</f>
        <v>1</v>
      </c>
      <c r="B170" s="166">
        <f ca="1">OFFSET(Deposits_In_Transit, 0, 10, 1, 1)</f>
        <v>0</v>
      </c>
    </row>
    <row r="171" spans="1:2" s="233" customFormat="1">
      <c r="A171" s="108">
        <f ca="1">IF(OFFSET(Deposits_In_Transit, 1, 8, 1, 1)=DATE(1900,1,0), DATE(1900,1,1), OFFSET(Deposits_In_Transit, 1, 8, 1, 1))</f>
        <v>1</v>
      </c>
      <c r="B171" s="166">
        <f ca="1">OFFSET(Deposits_In_Transit, 1, 10, 1, 1)</f>
        <v>0</v>
      </c>
    </row>
    <row r="172" spans="1:2" s="233" customFormat="1">
      <c r="A172" s="108">
        <f ca="1">IF(OFFSET(Deposits_In_Transit, 2, 8, 1, 1)=DATE(1900,1,0), DATE(1900,1,1), OFFSET(Deposits_In_Transit, 2, 8, 1, 1))</f>
        <v>1</v>
      </c>
      <c r="B172" s="166">
        <f ca="1">OFFSET(Deposits_In_Transit, 2, 10, 1, 1)</f>
        <v>0</v>
      </c>
    </row>
    <row r="173" spans="1:2" s="233" customFormat="1">
      <c r="A173" s="108">
        <f ca="1">IF(OFFSET(Deposits_In_Transit, 3, 8, 1, 1)=DATE(1900,1,0), DATE(1900,1,1), OFFSET(Deposits_In_Transit, 3, 8, 1, 1))</f>
        <v>1</v>
      </c>
      <c r="B173" s="166">
        <f ca="1">OFFSET(Deposits_In_Transit, 3, 10, 1, 1)</f>
        <v>0</v>
      </c>
    </row>
    <row r="174" spans="1:2" s="233" customFormat="1">
      <c r="A174" s="108">
        <f ca="1">IF(OFFSET(Deposits_In_Transit, 4, 8, 1, 1)=DATE(1900,1,0), DATE(1900,1,1), OFFSET(Deposits_In_Transit, 4, 8, 1, 1))</f>
        <v>1</v>
      </c>
      <c r="B174" s="166">
        <f ca="1">OFFSET(Deposits_In_Transit, 4, 10, 1, 1)</f>
        <v>0</v>
      </c>
    </row>
    <row r="175" spans="1:2" s="233" customFormat="1">
      <c r="A175" s="108">
        <f ca="1">IF(OFFSET(Deposits_In_Transit, 5, 8, 1, 1)=DATE(1900,1,0), DATE(1900,1,1), OFFSET(Deposits_In_Transit, 5, 8, 1, 1))</f>
        <v>1</v>
      </c>
      <c r="B175" s="166">
        <f ca="1">OFFSET(Deposits_In_Transit, 5, 10, 1, 1)</f>
        <v>0</v>
      </c>
    </row>
    <row r="176" spans="1:2" s="233" customFormat="1">
      <c r="A176" s="108">
        <f ca="1">IF(OFFSET(Deposits_In_Transit, 6, 8, 1, 1)=DATE(1900,1,0), DATE(1900,1,1), OFFSET(Deposits_In_Transit, 6, 8, 1, 1))</f>
        <v>1</v>
      </c>
      <c r="B176" s="166">
        <f ca="1">OFFSET(Deposits_In_Transit, 6, 10, 1, 1)</f>
        <v>0</v>
      </c>
    </row>
    <row r="177" spans="1:2" s="233" customFormat="1">
      <c r="A177" s="108">
        <f ca="1">IF(OFFSET(Deposits_In_Transit, 7, 8, 1, 1)=DATE(1900,1,0), DATE(1900,1,1), OFFSET(Deposits_In_Transit, 7, 8, 1, 1))</f>
        <v>1</v>
      </c>
      <c r="B177" s="166">
        <f ca="1">OFFSET(Deposits_In_Transit, 7, 10, 1, 1)</f>
        <v>0</v>
      </c>
    </row>
    <row r="178" spans="1:2" s="233" customFormat="1">
      <c r="A178" s="108">
        <f ca="1">IF(OFFSET(Deposits_In_Transit, 8, 8, 1, 1)=DATE(1900,1,0), DATE(1900,1,1), OFFSET(Deposits_In_Transit, 8, 8, 1, 1))</f>
        <v>1</v>
      </c>
      <c r="B178" s="166">
        <f ca="1">OFFSET(Deposits_In_Transit, 8, 10, 1, 1)</f>
        <v>0</v>
      </c>
    </row>
    <row r="179" spans="1:2" s="233" customFormat="1">
      <c r="A179" s="108">
        <f ca="1">IF(OFFSET(Deposits_In_Transit, 9, 8, 1, 1)=DATE(1900,1,0), DATE(1900,1,1), OFFSET(Deposits_In_Transit, 9, 8, 1, 1))</f>
        <v>1</v>
      </c>
      <c r="B179" s="166">
        <f ca="1">OFFSET(Deposits_In_Transit, 9, 10, 1, 1)</f>
        <v>0</v>
      </c>
    </row>
    <row r="180" spans="1:2" s="233" customFormat="1">
      <c r="A180" s="108">
        <f ca="1">IF(OFFSET(Deposits_In_Transit, 10, 8, 1, 1)=DATE(1900,1,0), DATE(1900,1,1), OFFSET(Deposits_In_Transit, 10, 8, 1, 1))</f>
        <v>1</v>
      </c>
      <c r="B180" s="166">
        <f ca="1">OFFSET(Deposits_In_Transit, 10, 10, 1, 1)</f>
        <v>0</v>
      </c>
    </row>
    <row r="181" spans="1:2" s="233" customFormat="1">
      <c r="A181" s="108">
        <f ca="1">IF(OFFSET(Deposits_In_Transit, 11, 8, 1, 1)=DATE(1900,1,0), DATE(1900,1,1), OFFSET(Deposits_In_Transit, 11, 8, 1, 1))</f>
        <v>1</v>
      </c>
      <c r="B181" s="166">
        <f ca="1">OFFSET(Deposits_In_Transit, 11, 10, 1, 1)</f>
        <v>0</v>
      </c>
    </row>
    <row r="182" spans="1:2" s="233" customFormat="1">
      <c r="A182" s="108">
        <f ca="1">IF(OFFSET(Deposits_In_Transit, 12, 8, 1, 1)=DATE(1900,1,0), DATE(1900,1,1), OFFSET(Deposits_In_Transit, 12, 8, 1, 1))</f>
        <v>1</v>
      </c>
      <c r="B182" s="166">
        <f ca="1">OFFSET(Deposits_In_Transit, 12, 10, 1, 1)</f>
        <v>0</v>
      </c>
    </row>
    <row r="183" spans="1:2" s="233" customFormat="1">
      <c r="A183" s="108">
        <f ca="1">IF(OFFSET(Deposits_In_Transit, 13, 8, 1, 1)=DATE(1900,1,0), DATE(1900,1,1), OFFSET(Deposits_In_Transit, 13, 8, 1, 1))</f>
        <v>1</v>
      </c>
      <c r="B183" s="166">
        <f ca="1">OFFSET(Deposits_In_Transit, 13, 10, 1, 1)</f>
        <v>0</v>
      </c>
    </row>
    <row r="184" spans="1:2" s="233" customFormat="1">
      <c r="A184" s="108">
        <f ca="1">IF(OFFSET(Deposits_In_Transit, 14, 8, 1, 1)=DATE(1900,1,0), DATE(1900,1,1), OFFSET(Deposits_In_Transit, 14, 8, 1, 1))</f>
        <v>1</v>
      </c>
      <c r="B184" s="166">
        <f ca="1">OFFSET(Deposits_In_Transit, 14, 10, 1, 1)</f>
        <v>0</v>
      </c>
    </row>
    <row r="185" spans="1:2" s="233" customFormat="1">
      <c r="A185" s="108">
        <f ca="1">IF(OFFSET(Deposits_In_Transit, 15, 8, 1, 1)=DATE(1900,1,0), DATE(1900,1,1), OFFSET(Deposits_In_Transit, 15, 8, 1, 1))</f>
        <v>1</v>
      </c>
      <c r="B185" s="166">
        <f ca="1">OFFSET(Deposits_In_Transit, 15, 10, 1, 1)</f>
        <v>0</v>
      </c>
    </row>
    <row r="186" spans="1:2" s="233" customFormat="1">
      <c r="A186" s="108">
        <f ca="1">IF(OFFSET(Deposits_In_Transit, 16, 8, 1, 1)=DATE(1900,1,0), DATE(1900,1,1), OFFSET(Deposits_In_Transit, 16, 8, 1, 1))</f>
        <v>1</v>
      </c>
      <c r="B186" s="166">
        <f ca="1">OFFSET(Deposits_In_Transit, 16, 10, 1, 1)</f>
        <v>0</v>
      </c>
    </row>
    <row r="187" spans="1:2" s="233" customFormat="1">
      <c r="A187" s="108">
        <f ca="1">IF(OFFSET(Deposits_In_Transit, 17, 8, 1, 1)=DATE(1900,1,0), DATE(1900,1,1), OFFSET(Deposits_In_Transit, 17, 8, 1, 1))</f>
        <v>1</v>
      </c>
      <c r="B187" s="166">
        <f ca="1">OFFSET(Deposits_In_Transit, 17, 10, 1, 1)</f>
        <v>0</v>
      </c>
    </row>
    <row r="188" spans="1:2" s="233" customFormat="1">
      <c r="A188" s="108">
        <f ca="1">IF(OFFSET(Deposits_In_Transit, 18, 8, 1, 1)=DATE(1900,1,0), DATE(1900,1,1), OFFSET(Deposits_In_Transit, 18, 8, 1, 1))</f>
        <v>1</v>
      </c>
      <c r="B188" s="166">
        <f ca="1">OFFSET(Deposits_In_Transit, 18, 10, 1, 1)</f>
        <v>0</v>
      </c>
    </row>
    <row r="189" spans="1:2" s="233" customFormat="1">
      <c r="A189" s="108">
        <f ca="1">IF(OFFSET(Deposits_In_Transit, 19, 8, 1, 1)=DATE(1900,1,0), DATE(1900,1,1), OFFSET(Deposits_In_Transit, 19, 8, 1, 1))</f>
        <v>1</v>
      </c>
      <c r="B189" s="166">
        <f ca="1">OFFSET(Deposits_In_Transit, 19, 10, 1, 1)</f>
        <v>0</v>
      </c>
    </row>
    <row r="190" spans="1:2" s="233" customFormat="1">
      <c r="A190" s="108">
        <f ca="1">IF(OFFSET(Deposits_In_Transit, 20, 8, 1, 1)=DATE(1900,1,0), DATE(1900,1,1), OFFSET(Deposits_In_Transit, 20, 8, 1, 1))</f>
        <v>1</v>
      </c>
      <c r="B190" s="166">
        <f ca="1">OFFSET(Deposits_In_Transit, 20, 10, 1, 1)</f>
        <v>0</v>
      </c>
    </row>
    <row r="191" spans="1:2" s="233" customFormat="1">
      <c r="A191" s="108">
        <f ca="1">IF(OFFSET(Deposits_In_Transit, 21, 8, 1, 1)=DATE(1900,1,0), DATE(1900,1,1), OFFSET(Deposits_In_Transit, 21, 8, 1, 1))</f>
        <v>1</v>
      </c>
      <c r="B191" s="166">
        <f ca="1">OFFSET(Deposits_In_Transit, 21, 10, 1, 1)</f>
        <v>0</v>
      </c>
    </row>
    <row r="192" spans="1:2" s="233" customFormat="1">
      <c r="A192" s="108">
        <f ca="1">IF(OFFSET(Deposits_In_Transit, 22, 8, 1, 1)=DATE(1900,1,0), DATE(1900,1,1), OFFSET(Deposits_In_Transit, 22, 8, 1, 1))</f>
        <v>1</v>
      </c>
      <c r="B192" s="166">
        <f ca="1">OFFSET(Deposits_In_Transit, 22, 10, 1, 1)</f>
        <v>0</v>
      </c>
    </row>
    <row r="193" spans="1:2" s="233" customFormat="1">
      <c r="A193" s="108">
        <f ca="1">IF(OFFSET(Deposits_In_Transit, 23, 8, 1, 1)=DATE(1900,1,0), DATE(1900,1,1), OFFSET(Deposits_In_Transit, 23, 8, 1, 1))</f>
        <v>1</v>
      </c>
      <c r="B193" s="166">
        <f ca="1">OFFSET(Deposits_In_Transit, 23, 10, 1, 1)</f>
        <v>0</v>
      </c>
    </row>
    <row r="194" spans="1:2" s="233" customFormat="1">
      <c r="A194" s="108">
        <f ca="1">IF(OFFSET(Deposits_In_Transit, 24, 8, 1, 1)=DATE(1900,1,0), DATE(1900,1,1), OFFSET(Deposits_In_Transit, 24, 8, 1, 1))</f>
        <v>1</v>
      </c>
      <c r="B194" s="166">
        <f ca="1">OFFSET(Deposits_In_Transit, 24, 10, 1, 1)</f>
        <v>0</v>
      </c>
    </row>
    <row r="195" spans="1:2" s="233" customFormat="1">
      <c r="A195" s="108">
        <f ca="1">IF(OFFSET(Deposits_In_Transit, 25, 8, 1, 1)=DATE(1900,1,0), DATE(1900,1,1), OFFSET(Deposits_In_Transit, 25, 8, 1, 1))</f>
        <v>1</v>
      </c>
      <c r="B195" s="166">
        <f ca="1">OFFSET(Deposits_In_Transit, 25, 10, 1, 1)</f>
        <v>0</v>
      </c>
    </row>
    <row r="196" spans="1:2" s="233" customFormat="1">
      <c r="A196" s="108">
        <f ca="1">IF(OFFSET(Deposits_In_Transit, 26, 8, 1, 1)=DATE(1900,1,0), DATE(1900,1,1), OFFSET(Deposits_In_Transit, 26, 8, 1, 1))</f>
        <v>1</v>
      </c>
      <c r="B196" s="166">
        <f ca="1">OFFSET(Deposits_In_Transit, 26, 10, 1, 1)</f>
        <v>0</v>
      </c>
    </row>
    <row r="197" spans="1:2" s="233" customFormat="1">
      <c r="A197" s="108">
        <f ca="1">IF(OFFSET(Deposits_In_Transit, 27, 8, 1, 1)=DATE(1900,1,0), DATE(1900,1,1), OFFSET(Deposits_In_Transit, 27, 8, 1, 1))</f>
        <v>1</v>
      </c>
      <c r="B197" s="166">
        <f ca="1">OFFSET(Deposits_In_Transit, 27, 10, 1, 1)</f>
        <v>0</v>
      </c>
    </row>
    <row r="198" spans="1:2" s="233" customFormat="1">
      <c r="A198" s="108">
        <f ca="1">IF(OFFSET(Deposits_In_Transit, 28, 8, 1, 1)=DATE(1900,1,0), DATE(1900,1,1), OFFSET(Deposits_In_Transit, 28, 8, 1, 1))</f>
        <v>1</v>
      </c>
      <c r="B198" s="166">
        <f ca="1">OFFSET(Deposits_In_Transit, 28, 10, 1, 1)</f>
        <v>0</v>
      </c>
    </row>
    <row r="199" spans="1:2" s="233" customFormat="1" ht="15" thickBot="1">
      <c r="A199" s="111">
        <f ca="1">IF(OFFSET(Deposits_In_Transit, 29, 8, 1, 1)=DATE(1900,1,0), DATE(1900,1,1), OFFSET(Deposits_In_Transit, 29, 8, 1, 1))</f>
        <v>1</v>
      </c>
      <c r="B199" s="167">
        <f ca="1">OFFSET(Deposits_In_Transit, 29, 10, 1, 1)</f>
        <v>0</v>
      </c>
    </row>
    <row r="200" spans="1:2" s="233" customFormat="1"/>
    <row r="201" spans="1:2" s="233" customFormat="1" ht="15" thickBot="1">
      <c r="A201" t="s">
        <v>906</v>
      </c>
      <c r="B201"/>
    </row>
    <row r="202" spans="1:2" s="233" customFormat="1">
      <c r="A202" s="104" t="s">
        <v>156</v>
      </c>
      <c r="B202" s="106" t="s">
        <v>151</v>
      </c>
    </row>
    <row r="203" spans="1:2" s="233" customFormat="1">
      <c r="A203" s="160" t="str">
        <f ca="1">IF(OFFSET(Trust_Fund_Trial_Balances, 0, 0, 1, 1) = 0, "", OFFSET(Trust_Fund_Trial_Balances, 0, 0, 1, 1))</f>
        <v/>
      </c>
      <c r="B203" s="166">
        <f ca="1">OFFSET(Trust_Fund_Trial_Balances, 0, 1, 1, 1)</f>
        <v>0</v>
      </c>
    </row>
    <row r="204" spans="1:2" s="233" customFormat="1">
      <c r="A204" s="160" t="str">
        <f ca="1">IF(OFFSET(Trust_Fund_Trial_Balances, 1, 0, 1, 1) = 0, "", OFFSET(Trust_Fund_Trial_Balances, 1, 0, 1, 1))</f>
        <v/>
      </c>
      <c r="B204" s="166">
        <f ca="1">OFFSET(Trust_Fund_Trial_Balances, 1, 1, 1, 1)</f>
        <v>0</v>
      </c>
    </row>
    <row r="205" spans="1:2" s="233" customFormat="1">
      <c r="A205" s="160" t="str">
        <f ca="1">IF(OFFSET(Trust_Fund_Trial_Balances, 2, 0, 1, 1) = 0, "", OFFSET(Trust_Fund_Trial_Balances, 2, 0, 1, 1))</f>
        <v/>
      </c>
      <c r="B205" s="166">
        <f ca="1">OFFSET(Trust_Fund_Trial_Balances, 2, 1, 1, 1)</f>
        <v>0</v>
      </c>
    </row>
    <row r="206" spans="1:2" s="233" customFormat="1">
      <c r="A206" s="160" t="str">
        <f ca="1">IF(OFFSET(Trust_Fund_Trial_Balances, 3, 0, 1, 1) = 0, "", OFFSET(Trust_Fund_Trial_Balances, 3, 0, 1, 1))</f>
        <v/>
      </c>
      <c r="B206" s="166">
        <f ca="1">OFFSET(Trust_Fund_Trial_Balances, 3, 1, 1, 1)</f>
        <v>0</v>
      </c>
    </row>
    <row r="207" spans="1:2" s="233" customFormat="1">
      <c r="A207" s="160" t="str">
        <f ca="1">IF(OFFSET(Trust_Fund_Trial_Balances, 4, 0, 1, 1) = 0, "", OFFSET(Trust_Fund_Trial_Balances, 4, 0, 1, 1))</f>
        <v/>
      </c>
      <c r="B207" s="166">
        <f ca="1">OFFSET(Trust_Fund_Trial_Balances, 4, 1, 1, 1)</f>
        <v>0</v>
      </c>
    </row>
    <row r="208" spans="1:2" s="233" customFormat="1">
      <c r="A208" s="160" t="str">
        <f ca="1">IF(OFFSET(Trust_Fund_Trial_Balances, 5, 0, 1, 1) = 0, "", OFFSET(Trust_Fund_Trial_Balances, 5, 0, 1, 1))</f>
        <v/>
      </c>
      <c r="B208" s="166">
        <f ca="1">OFFSET(Trust_Fund_Trial_Balances, 5, 1, 1, 1)</f>
        <v>0</v>
      </c>
    </row>
    <row r="209" spans="1:2" s="233" customFormat="1">
      <c r="A209" s="160" t="str">
        <f ca="1">IF(OFFSET(Trust_Fund_Trial_Balances, 6, 0, 1, 1) = 0, "", OFFSET(Trust_Fund_Trial_Balances, 6, 0, 1, 1))</f>
        <v/>
      </c>
      <c r="B209" s="166">
        <f ca="1">OFFSET(Trust_Fund_Trial_Balances, 6, 1, 1, 1)</f>
        <v>0</v>
      </c>
    </row>
    <row r="210" spans="1:2" s="233" customFormat="1">
      <c r="A210" s="160" t="str">
        <f ca="1">IF(OFFSET(Trust_Fund_Trial_Balances, 7, 0, 1, 1) = 0, "", OFFSET(Trust_Fund_Trial_Balances, 7, 0, 1, 1))</f>
        <v/>
      </c>
      <c r="B210" s="166">
        <f ca="1">OFFSET(Trust_Fund_Trial_Balances, 7, 1, 1, 1)</f>
        <v>0</v>
      </c>
    </row>
    <row r="211" spans="1:2" s="233" customFormat="1">
      <c r="A211" s="160" t="str">
        <f ca="1">IF(OFFSET(Trust_Fund_Trial_Balances, 8, 0, 1, 1) = 0, "", OFFSET(Trust_Fund_Trial_Balances, 8, 0, 1, 1))</f>
        <v/>
      </c>
      <c r="B211" s="166">
        <f ca="1">OFFSET(Trust_Fund_Trial_Balances, 8, 1, 1, 1)</f>
        <v>0</v>
      </c>
    </row>
    <row r="212" spans="1:2" s="233" customFormat="1">
      <c r="A212" s="160" t="str">
        <f ca="1">IF(OFFSET(Trust_Fund_Trial_Balances, 9, 0, 1, 1) = 0, "", OFFSET(Trust_Fund_Trial_Balances, 9, 0, 1, 1))</f>
        <v/>
      </c>
      <c r="B212" s="166">
        <f ca="1">OFFSET(Trust_Fund_Trial_Balances, 9, 1, 1, 1)</f>
        <v>0</v>
      </c>
    </row>
    <row r="213" spans="1:2" s="233" customFormat="1">
      <c r="A213" s="160" t="str">
        <f ca="1">IF(OFFSET(Trust_Fund_Trial_Balances, 10, 0, 1, 1) = 0, "", OFFSET(Trust_Fund_Trial_Balances, 10, 0, 1, 1))</f>
        <v/>
      </c>
      <c r="B213" s="166">
        <f ca="1">OFFSET(Trust_Fund_Trial_Balances, 10, 1, 1, 1)</f>
        <v>0</v>
      </c>
    </row>
    <row r="214" spans="1:2" s="233" customFormat="1">
      <c r="A214" s="160" t="str">
        <f ca="1">IF(OFFSET(Trust_Fund_Trial_Balances, 11, 0, 1, 1) = 0, "", OFFSET(Trust_Fund_Trial_Balances, 11, 0, 1, 1))</f>
        <v/>
      </c>
      <c r="B214" s="166">
        <f ca="1">OFFSET(Trust_Fund_Trial_Balances, 11, 1, 1, 1)</f>
        <v>0</v>
      </c>
    </row>
    <row r="215" spans="1:2" s="233" customFormat="1">
      <c r="A215" s="160" t="str">
        <f ca="1">IF(OFFSET(Trust_Fund_Trial_Balances, 12, 0, 1, 1) = 0, "", OFFSET(Trust_Fund_Trial_Balances, 12, 0, 1, 1))</f>
        <v/>
      </c>
      <c r="B215" s="166">
        <f ca="1">OFFSET(Trust_Fund_Trial_Balances, 12, 1, 1, 1)</f>
        <v>0</v>
      </c>
    </row>
    <row r="216" spans="1:2" s="233" customFormat="1">
      <c r="A216" s="160" t="str">
        <f ca="1">IF(OFFSET(Trust_Fund_Trial_Balances, 13, 0, 1, 1) = 0, "", OFFSET(Trust_Fund_Trial_Balances, 13, 0, 1, 1))</f>
        <v/>
      </c>
      <c r="B216" s="166">
        <f ca="1">OFFSET(Trust_Fund_Trial_Balances, 13, 1, 1, 1)</f>
        <v>0</v>
      </c>
    </row>
    <row r="217" spans="1:2" s="233" customFormat="1">
      <c r="A217" s="160" t="str">
        <f ca="1">IF(OFFSET(Trust_Fund_Trial_Balances, 14, 0, 1, 1) = 0, "", OFFSET(Trust_Fund_Trial_Balances, 14, 0, 1, 1))</f>
        <v/>
      </c>
      <c r="B217" s="166">
        <f ca="1">OFFSET(Trust_Fund_Trial_Balances, 14, 1, 1, 1)</f>
        <v>0</v>
      </c>
    </row>
    <row r="218" spans="1:2" s="233" customFormat="1">
      <c r="A218" s="160" t="str">
        <f ca="1">IF(OFFSET(Trust_Fund_Trial_Balances, 15, 0, 1, 1) = 0, "", OFFSET(Trust_Fund_Trial_Balances, 15, 0, 1, 1))</f>
        <v/>
      </c>
      <c r="B218" s="166">
        <f ca="1">OFFSET(Trust_Fund_Trial_Balances, 15, 1, 1, 1)</f>
        <v>0</v>
      </c>
    </row>
    <row r="219" spans="1:2" s="233" customFormat="1">
      <c r="A219" s="160" t="str">
        <f ca="1">IF(OFFSET(Trust_Fund_Trial_Balances, 16, 0, 1, 1) = 0, "", OFFSET(Trust_Fund_Trial_Balances, 16, 0, 1, 1))</f>
        <v/>
      </c>
      <c r="B219" s="166">
        <f ca="1">OFFSET(Trust_Fund_Trial_Balances, 16, 1, 1, 1)</f>
        <v>0</v>
      </c>
    </row>
    <row r="220" spans="1:2" s="233" customFormat="1">
      <c r="A220" s="160" t="str">
        <f ca="1">IF(OFFSET(Trust_Fund_Trial_Balances, 17, 0, 1, 1) = 0, "", OFFSET(Trust_Fund_Trial_Balances, 17, 0, 1, 1))</f>
        <v/>
      </c>
      <c r="B220" s="166">
        <f ca="1">OFFSET(Trust_Fund_Trial_Balances, 17, 1, 1, 1)</f>
        <v>0</v>
      </c>
    </row>
    <row r="221" spans="1:2" s="233" customFormat="1">
      <c r="A221" s="160" t="str">
        <f ca="1">IF(OFFSET(Trust_Fund_Trial_Balances, 18, 0, 1, 1) = 0, "", OFFSET(Trust_Fund_Trial_Balances, 18, 0, 1, 1))</f>
        <v/>
      </c>
      <c r="B221" s="166">
        <f ca="1">OFFSET(Trust_Fund_Trial_Balances, 18, 1, 1, 1)</f>
        <v>0</v>
      </c>
    </row>
    <row r="222" spans="1:2" s="233" customFormat="1">
      <c r="A222" s="160" t="str">
        <f ca="1">IF(OFFSET(Trust_Fund_Trial_Balances, 19, 0, 1, 1) = 0, "", OFFSET(Trust_Fund_Trial_Balances, 19, 0, 1, 1))</f>
        <v/>
      </c>
      <c r="B222" s="166">
        <f ca="1">OFFSET(Trust_Fund_Trial_Balances, 19, 1, 1, 1)</f>
        <v>0</v>
      </c>
    </row>
    <row r="223" spans="1:2" s="233" customFormat="1">
      <c r="A223" s="160" t="str">
        <f ca="1">IF(OFFSET(Trust_Fund_Trial_Balances, 20, 0, 1, 1) = 0, "", OFFSET(Trust_Fund_Trial_Balances, 20, 0, 1, 1))</f>
        <v/>
      </c>
      <c r="B223" s="166">
        <f ca="1">OFFSET(Trust_Fund_Trial_Balances, 20, 1, 1, 1)</f>
        <v>0</v>
      </c>
    </row>
    <row r="224" spans="1:2" s="233" customFormat="1">
      <c r="A224" s="160" t="str">
        <f ca="1">IF(OFFSET(Trust_Fund_Trial_Balances, 21, 0, 1, 1) = 0, "", OFFSET(Trust_Fund_Trial_Balances, 21, 0, 1, 1))</f>
        <v/>
      </c>
      <c r="B224" s="166">
        <f ca="1">OFFSET(Trust_Fund_Trial_Balances, 21, 1, 1, 1)</f>
        <v>0</v>
      </c>
    </row>
    <row r="225" spans="1:2" s="233" customFormat="1">
      <c r="A225" s="160" t="str">
        <f ca="1">IF(OFFSET(Trust_Fund_Trial_Balances, 22, 0, 1, 1) = 0, "", OFFSET(Trust_Fund_Trial_Balances, 22, 0, 1, 1))</f>
        <v/>
      </c>
      <c r="B225" s="166">
        <f ca="1">OFFSET(Trust_Fund_Trial_Balances, 22, 1, 1, 1)</f>
        <v>0</v>
      </c>
    </row>
    <row r="226" spans="1:2" s="233" customFormat="1">
      <c r="A226" s="160" t="str">
        <f ca="1">IF(OFFSET(Trust_Fund_Trial_Balances, 23, 0, 1, 1) = 0, "", OFFSET(Trust_Fund_Trial_Balances, 23, 0, 1, 1))</f>
        <v/>
      </c>
      <c r="B226" s="166">
        <f ca="1">OFFSET(Trust_Fund_Trial_Balances, 23, 1, 1, 1)</f>
        <v>0</v>
      </c>
    </row>
    <row r="227" spans="1:2" s="233" customFormat="1">
      <c r="A227" s="160" t="str">
        <f ca="1">IF(OFFSET(Trust_Fund_Trial_Balances, 24, 0, 1, 1) = 0, "", OFFSET(Trust_Fund_Trial_Balances, 24, 0, 1, 1))</f>
        <v/>
      </c>
      <c r="B227" s="166">
        <f ca="1">OFFSET(Trust_Fund_Trial_Balances, 24, 1, 1, 1)</f>
        <v>0</v>
      </c>
    </row>
    <row r="228" spans="1:2" s="233" customFormat="1">
      <c r="A228" s="160" t="str">
        <f ca="1">IF(OFFSET(Trust_Fund_Trial_Balances, 25, 0, 1, 1) = 0, "", OFFSET(Trust_Fund_Trial_Balances, 25, 0, 1, 1))</f>
        <v/>
      </c>
      <c r="B228" s="166">
        <f ca="1">OFFSET(Trust_Fund_Trial_Balances, 25, 1, 1, 1)</f>
        <v>0</v>
      </c>
    </row>
    <row r="229" spans="1:2" s="233" customFormat="1">
      <c r="A229" s="160" t="str">
        <f ca="1">IF(OFFSET(Trust_Fund_Trial_Balances, 26, 0, 1, 1) = 0, "", OFFSET(Trust_Fund_Trial_Balances, 26, 0, 1, 1))</f>
        <v/>
      </c>
      <c r="B229" s="166">
        <f ca="1">OFFSET(Trust_Fund_Trial_Balances, 26, 1, 1, 1)</f>
        <v>0</v>
      </c>
    </row>
    <row r="230" spans="1:2" s="233" customFormat="1">
      <c r="A230" s="160" t="str">
        <f ca="1">IF(OFFSET(Trust_Fund_Trial_Balances, 27, 0, 1, 1) = 0, "", OFFSET(Trust_Fund_Trial_Balances, 27, 0, 1, 1))</f>
        <v/>
      </c>
      <c r="B230" s="166">
        <f ca="1">OFFSET(Trust_Fund_Trial_Balances, 27, 1, 1, 1)</f>
        <v>0</v>
      </c>
    </row>
    <row r="231" spans="1:2" s="233" customFormat="1">
      <c r="A231" s="160" t="str">
        <f ca="1">IF(OFFSET(Trust_Fund_Trial_Balances, 28, 0, 1, 1) = 0, "", OFFSET(Trust_Fund_Trial_Balances, 28, 0, 1, 1))</f>
        <v/>
      </c>
      <c r="B231" s="166">
        <f ca="1">OFFSET(Trust_Fund_Trial_Balances, 28, 1, 1, 1)</f>
        <v>0</v>
      </c>
    </row>
    <row r="232" spans="1:2" s="233" customFormat="1">
      <c r="A232" s="160" t="str">
        <f ca="1">IF(OFFSET(Trust_Fund_Trial_Balances, 29, 0, 1, 1) = 0, "", OFFSET(Trust_Fund_Trial_Balances, 29, 0, 1, 1))</f>
        <v/>
      </c>
      <c r="B232" s="166">
        <f ca="1">OFFSET(Trust_Fund_Trial_Balances, 29, 1, 1, 1)</f>
        <v>0</v>
      </c>
    </row>
    <row r="233" spans="1:2" s="233" customFormat="1">
      <c r="A233" s="160" t="str">
        <f ca="1">IF(OFFSET(Trust_Fund_Trial_Balances, 0, 3, 1, 1) = 0, "", OFFSET(Trust_Fund_Trial_Balances, 0, 3, 1, 1))</f>
        <v/>
      </c>
      <c r="B233" s="166">
        <f ca="1">OFFSET(Trust_Fund_Trial_Balances, 0, 4, 1, 1)</f>
        <v>0</v>
      </c>
    </row>
    <row r="234" spans="1:2" s="233" customFormat="1">
      <c r="A234" s="160" t="str">
        <f ca="1">IF(OFFSET(Trust_Fund_Trial_Balances, 1, 3, 1, 1) = 0, "", OFFSET(Trust_Fund_Trial_Balances, 1, 3, 1, 1))</f>
        <v/>
      </c>
      <c r="B234" s="166">
        <f ca="1">OFFSET(Trust_Fund_Trial_Balances, 1, 4, 1, 1)</f>
        <v>0</v>
      </c>
    </row>
    <row r="235" spans="1:2" s="233" customFormat="1">
      <c r="A235" s="160" t="str">
        <f ca="1">IF(OFFSET(Trust_Fund_Trial_Balances, 2, 3, 1, 1) = 0, "", OFFSET(Trust_Fund_Trial_Balances, 2, 3, 1, 1))</f>
        <v/>
      </c>
      <c r="B235" s="166">
        <f ca="1">OFFSET(Trust_Fund_Trial_Balances, 2, 4, 1, 1)</f>
        <v>0</v>
      </c>
    </row>
    <row r="236" spans="1:2" s="233" customFormat="1">
      <c r="A236" s="160" t="str">
        <f ca="1">IF(OFFSET(Trust_Fund_Trial_Balances, 3, 3, 1, 1) = 0, "", OFFSET(Trust_Fund_Trial_Balances, 3, 3, 1, 1))</f>
        <v/>
      </c>
      <c r="B236" s="166">
        <f ca="1">OFFSET(Trust_Fund_Trial_Balances, 3, 4, 1, 1)</f>
        <v>0</v>
      </c>
    </row>
    <row r="237" spans="1:2" s="233" customFormat="1">
      <c r="A237" s="160" t="str">
        <f ca="1">IF(OFFSET(Trust_Fund_Trial_Balances, 4, 3, 1, 1) = 0, "", OFFSET(Trust_Fund_Trial_Balances, 4, 3, 1, 1))</f>
        <v/>
      </c>
      <c r="B237" s="166">
        <f ca="1">OFFSET(Trust_Fund_Trial_Balances, 4, 4, 1, 1)</f>
        <v>0</v>
      </c>
    </row>
    <row r="238" spans="1:2" s="233" customFormat="1">
      <c r="A238" s="160" t="str">
        <f ca="1">IF(OFFSET(Trust_Fund_Trial_Balances, 5, 3, 1, 1) = 0, "", OFFSET(Trust_Fund_Trial_Balances, 5, 3, 1, 1))</f>
        <v/>
      </c>
      <c r="B238" s="166">
        <f ca="1">OFFSET(Trust_Fund_Trial_Balances, 5, 4, 1, 1)</f>
        <v>0</v>
      </c>
    </row>
    <row r="239" spans="1:2" s="233" customFormat="1">
      <c r="A239" s="160" t="str">
        <f ca="1">IF(OFFSET(Trust_Fund_Trial_Balances, 6, 3, 1, 1) = 0, "", OFFSET(Trust_Fund_Trial_Balances, 6, 3, 1, 1))</f>
        <v/>
      </c>
      <c r="B239" s="166">
        <f ca="1">OFFSET(Trust_Fund_Trial_Balances, 6, 4, 1, 1)</f>
        <v>0</v>
      </c>
    </row>
    <row r="240" spans="1:2" s="233" customFormat="1">
      <c r="A240" s="160" t="str">
        <f ca="1">IF(OFFSET(Trust_Fund_Trial_Balances, 7, 3, 1, 1) = 0, "", OFFSET(Trust_Fund_Trial_Balances, 7, 3, 1, 1))</f>
        <v/>
      </c>
      <c r="B240" s="166">
        <f ca="1">OFFSET(Trust_Fund_Trial_Balances, 7, 4, 1, 1)</f>
        <v>0</v>
      </c>
    </row>
    <row r="241" spans="1:2" s="233" customFormat="1">
      <c r="A241" s="160" t="str">
        <f ca="1">IF(OFFSET(Trust_Fund_Trial_Balances, 8, 3, 1, 1) = 0, "", OFFSET(Trust_Fund_Trial_Balances, 8, 3, 1, 1))</f>
        <v/>
      </c>
      <c r="B241" s="166">
        <f ca="1">OFFSET(Trust_Fund_Trial_Balances, 8, 4, 1, 1)</f>
        <v>0</v>
      </c>
    </row>
    <row r="242" spans="1:2" s="233" customFormat="1">
      <c r="A242" s="160" t="str">
        <f ca="1">IF(OFFSET(Trust_Fund_Trial_Balances, 9, 3, 1, 1) = 0, "", OFFSET(Trust_Fund_Trial_Balances, 9, 3, 1, 1))</f>
        <v/>
      </c>
      <c r="B242" s="166">
        <f ca="1">OFFSET(Trust_Fund_Trial_Balances, 9, 4, 1, 1)</f>
        <v>0</v>
      </c>
    </row>
    <row r="243" spans="1:2" s="233" customFormat="1">
      <c r="A243" s="160" t="str">
        <f ca="1">IF(OFFSET(Trust_Fund_Trial_Balances, 10, 3, 1, 1) = 0, "", OFFSET(Trust_Fund_Trial_Balances, 10, 3, 1, 1))</f>
        <v/>
      </c>
      <c r="B243" s="166">
        <f ca="1">OFFSET(Trust_Fund_Trial_Balances, 10, 4, 1, 1)</f>
        <v>0</v>
      </c>
    </row>
    <row r="244" spans="1:2" s="233" customFormat="1">
      <c r="A244" s="160" t="str">
        <f ca="1">IF(OFFSET(Trust_Fund_Trial_Balances, 11, 3, 1, 1) = 0, "", OFFSET(Trust_Fund_Trial_Balances, 11, 3, 1, 1))</f>
        <v/>
      </c>
      <c r="B244" s="166">
        <f ca="1">OFFSET(Trust_Fund_Trial_Balances, 11, 4, 1, 1)</f>
        <v>0</v>
      </c>
    </row>
    <row r="245" spans="1:2" s="233" customFormat="1">
      <c r="A245" s="160" t="str">
        <f ca="1">IF(OFFSET(Trust_Fund_Trial_Balances, 12, 3, 1, 1) = 0, "", OFFSET(Trust_Fund_Trial_Balances, 12, 3, 1, 1))</f>
        <v/>
      </c>
      <c r="B245" s="166">
        <f ca="1">OFFSET(Trust_Fund_Trial_Balances, 12, 4, 1, 1)</f>
        <v>0</v>
      </c>
    </row>
    <row r="246" spans="1:2" s="233" customFormat="1">
      <c r="A246" s="160" t="str">
        <f ca="1">IF(OFFSET(Trust_Fund_Trial_Balances, 13, 3, 1, 1) = 0, "", OFFSET(Trust_Fund_Trial_Balances, 13, 3, 1, 1))</f>
        <v/>
      </c>
      <c r="B246" s="166">
        <f ca="1">OFFSET(Trust_Fund_Trial_Balances, 13, 4, 1, 1)</f>
        <v>0</v>
      </c>
    </row>
    <row r="247" spans="1:2" s="233" customFormat="1">
      <c r="A247" s="160" t="str">
        <f ca="1">IF(OFFSET(Trust_Fund_Trial_Balances, 14, 3, 1, 1) = 0, "", OFFSET(Trust_Fund_Trial_Balances, 14, 3, 1, 1))</f>
        <v/>
      </c>
      <c r="B247" s="166">
        <f ca="1">OFFSET(Trust_Fund_Trial_Balances, 14, 4, 1, 1)</f>
        <v>0</v>
      </c>
    </row>
    <row r="248" spans="1:2" s="233" customFormat="1">
      <c r="A248" s="160" t="str">
        <f ca="1">IF(OFFSET(Trust_Fund_Trial_Balances, 15, 3, 1, 1) = 0, "", OFFSET(Trust_Fund_Trial_Balances, 15, 3, 1, 1))</f>
        <v/>
      </c>
      <c r="B248" s="166">
        <f ca="1">OFFSET(Trust_Fund_Trial_Balances, 15, 4, 1, 1)</f>
        <v>0</v>
      </c>
    </row>
    <row r="249" spans="1:2" s="233" customFormat="1">
      <c r="A249" s="160" t="str">
        <f ca="1">IF(OFFSET(Trust_Fund_Trial_Balances, 16, 3, 1, 1) = 0, "", OFFSET(Trust_Fund_Trial_Balances, 16, 3, 1, 1))</f>
        <v/>
      </c>
      <c r="B249" s="166">
        <f ca="1">OFFSET(Trust_Fund_Trial_Balances, 16, 4, 1, 1)</f>
        <v>0</v>
      </c>
    </row>
    <row r="250" spans="1:2" s="233" customFormat="1">
      <c r="A250" s="160" t="str">
        <f ca="1">IF(OFFSET(Trust_Fund_Trial_Balances, 17, 3, 1, 1) = 0, "", OFFSET(Trust_Fund_Trial_Balances, 17, 3, 1, 1))</f>
        <v/>
      </c>
      <c r="B250" s="166">
        <f ca="1">OFFSET(Trust_Fund_Trial_Balances, 17, 4, 1, 1)</f>
        <v>0</v>
      </c>
    </row>
    <row r="251" spans="1:2" s="233" customFormat="1">
      <c r="A251" s="160" t="str">
        <f ca="1">IF(OFFSET(Trust_Fund_Trial_Balances, 18, 3, 1, 1) = 0, "", OFFSET(Trust_Fund_Trial_Balances, 18, 3, 1, 1))</f>
        <v/>
      </c>
      <c r="B251" s="166">
        <f ca="1">OFFSET(Trust_Fund_Trial_Balances, 18, 4, 1, 1)</f>
        <v>0</v>
      </c>
    </row>
    <row r="252" spans="1:2" s="233" customFormat="1">
      <c r="A252" s="160" t="str">
        <f ca="1">IF(OFFSET(Trust_Fund_Trial_Balances, 19, 3, 1, 1) = 0, "", OFFSET(Trust_Fund_Trial_Balances, 19, 3, 1, 1))</f>
        <v/>
      </c>
      <c r="B252" s="166">
        <f ca="1">OFFSET(Trust_Fund_Trial_Balances, 19, 4, 1, 1)</f>
        <v>0</v>
      </c>
    </row>
    <row r="253" spans="1:2" s="233" customFormat="1">
      <c r="A253" s="160" t="str">
        <f ca="1">IF(OFFSET(Trust_Fund_Trial_Balances, 20, 3, 1, 1) = 0, "", OFFSET(Trust_Fund_Trial_Balances, 20, 3, 1, 1))</f>
        <v/>
      </c>
      <c r="B253" s="166">
        <f ca="1">OFFSET(Trust_Fund_Trial_Balances, 20, 4, 1, 1)</f>
        <v>0</v>
      </c>
    </row>
    <row r="254" spans="1:2" s="233" customFormat="1">
      <c r="A254" s="160" t="str">
        <f ca="1">IF(OFFSET(Trust_Fund_Trial_Balances, 21, 3, 1, 1) = 0, "", OFFSET(Trust_Fund_Trial_Balances, 21, 3, 1, 1))</f>
        <v/>
      </c>
      <c r="B254" s="166">
        <f ca="1">OFFSET(Trust_Fund_Trial_Balances, 21, 4, 1, 1)</f>
        <v>0</v>
      </c>
    </row>
    <row r="255" spans="1:2" s="233" customFormat="1">
      <c r="A255" s="160" t="str">
        <f ca="1">IF(OFFSET(Trust_Fund_Trial_Balances, 22, 3, 1, 1) = 0, "", OFFSET(Trust_Fund_Trial_Balances, 22, 3, 1, 1))</f>
        <v/>
      </c>
      <c r="B255" s="166">
        <f ca="1">OFFSET(Trust_Fund_Trial_Balances, 22, 4, 1, 1)</f>
        <v>0</v>
      </c>
    </row>
    <row r="256" spans="1:2" s="233" customFormat="1">
      <c r="A256" s="160" t="str">
        <f ca="1">IF(OFFSET(Trust_Fund_Trial_Balances, 23, 3, 1, 1) = 0, "", OFFSET(Trust_Fund_Trial_Balances, 23, 3, 1, 1))</f>
        <v/>
      </c>
      <c r="B256" s="166">
        <f ca="1">OFFSET(Trust_Fund_Trial_Balances, 23, 4, 1, 1)</f>
        <v>0</v>
      </c>
    </row>
    <row r="257" spans="1:2" s="233" customFormat="1">
      <c r="A257" s="160" t="str">
        <f ca="1">IF(OFFSET(Trust_Fund_Trial_Balances, 24, 3, 1, 1) = 0, "", OFFSET(Trust_Fund_Trial_Balances, 24, 3, 1, 1))</f>
        <v/>
      </c>
      <c r="B257" s="166">
        <f ca="1">OFFSET(Trust_Fund_Trial_Balances, 24, 4, 1, 1)</f>
        <v>0</v>
      </c>
    </row>
    <row r="258" spans="1:2" s="233" customFormat="1">
      <c r="A258" s="160" t="str">
        <f ca="1">IF(OFFSET(Trust_Fund_Trial_Balances, 25, 3, 1, 1) = 0, "", OFFSET(Trust_Fund_Trial_Balances, 25, 3, 1, 1))</f>
        <v/>
      </c>
      <c r="B258" s="166">
        <f ca="1">OFFSET(Trust_Fund_Trial_Balances, 25, 4, 1, 1)</f>
        <v>0</v>
      </c>
    </row>
    <row r="259" spans="1:2" s="233" customFormat="1">
      <c r="A259" s="160" t="str">
        <f ca="1">IF(OFFSET(Trust_Fund_Trial_Balances, 26, 3, 1, 1) = 0, "", OFFSET(Trust_Fund_Trial_Balances, 26, 3, 1, 1))</f>
        <v/>
      </c>
      <c r="B259" s="166">
        <f ca="1">OFFSET(Trust_Fund_Trial_Balances, 26, 4, 1, 1)</f>
        <v>0</v>
      </c>
    </row>
    <row r="260" spans="1:2" s="233" customFormat="1">
      <c r="A260" s="160" t="str">
        <f ca="1">IF(OFFSET(Trust_Fund_Trial_Balances, 27, 3, 1, 1) = 0, "", OFFSET(Trust_Fund_Trial_Balances, 27, 3, 1, 1))</f>
        <v/>
      </c>
      <c r="B260" s="166">
        <f ca="1">OFFSET(Trust_Fund_Trial_Balances, 27, 4, 1, 1)</f>
        <v>0</v>
      </c>
    </row>
    <row r="261" spans="1:2" s="233" customFormat="1">
      <c r="A261" s="160" t="str">
        <f ca="1">IF(OFFSET(Trust_Fund_Trial_Balances, 28, 3, 1, 1) = 0, "", OFFSET(Trust_Fund_Trial_Balances, 28, 3, 1, 1))</f>
        <v/>
      </c>
      <c r="B261" s="166">
        <f ca="1">OFFSET(Trust_Fund_Trial_Balances, 28, 4, 1, 1)</f>
        <v>0</v>
      </c>
    </row>
    <row r="262" spans="1:2" s="233" customFormat="1">
      <c r="A262" s="160" t="str">
        <f ca="1">IF(OFFSET(Trust_Fund_Trial_Balances, 29, 3, 1, 1) = 0, "", OFFSET(Trust_Fund_Trial_Balances, 29, 3, 1, 1))</f>
        <v/>
      </c>
      <c r="B262" s="166">
        <f ca="1">OFFSET(Trust_Fund_Trial_Balances, 29, 4, 1, 1)</f>
        <v>0</v>
      </c>
    </row>
    <row r="263" spans="1:2" s="233" customFormat="1">
      <c r="A263" s="160" t="str">
        <f ca="1">IF(OFFSET(Trust_Fund_Trial_Balances, 0, 6, 1, 1) = 0, "", OFFSET(Trust_Fund_Trial_Balances, 0, 6, 1, 1))</f>
        <v/>
      </c>
      <c r="B263" s="166">
        <f ca="1">OFFSET(Trust_Fund_Trial_Balances, 0, 7, 1, 1)</f>
        <v>0</v>
      </c>
    </row>
    <row r="264" spans="1:2" s="233" customFormat="1">
      <c r="A264" s="160" t="str">
        <f ca="1">IF(OFFSET(Trust_Fund_Trial_Balances, 1, 6, 1, 1) = 0, "", OFFSET(Trust_Fund_Trial_Balances, 1, 6, 1, 1))</f>
        <v/>
      </c>
      <c r="B264" s="166">
        <f ca="1">OFFSET(Trust_Fund_Trial_Balances, 1, 7, 1, 1)</f>
        <v>0</v>
      </c>
    </row>
    <row r="265" spans="1:2" s="233" customFormat="1">
      <c r="A265" s="160" t="str">
        <f ca="1">IF(OFFSET(Trust_Fund_Trial_Balances, 2, 6, 1, 1) = 0, "", OFFSET(Trust_Fund_Trial_Balances, 2, 6, 1, 1))</f>
        <v/>
      </c>
      <c r="B265" s="166">
        <f ca="1">OFFSET(Trust_Fund_Trial_Balances, 2, 7, 1, 1)</f>
        <v>0</v>
      </c>
    </row>
    <row r="266" spans="1:2" s="233" customFormat="1">
      <c r="A266" s="160" t="str">
        <f ca="1">IF(OFFSET(Trust_Fund_Trial_Balances, 3, 6, 1, 1) = 0, "", OFFSET(Trust_Fund_Trial_Balances, 3, 6, 1, 1))</f>
        <v/>
      </c>
      <c r="B266" s="166">
        <f ca="1">OFFSET(Trust_Fund_Trial_Balances, 3, 7, 1, 1)</f>
        <v>0</v>
      </c>
    </row>
    <row r="267" spans="1:2" s="233" customFormat="1">
      <c r="A267" s="160" t="str">
        <f ca="1">IF(OFFSET(Trust_Fund_Trial_Balances, 4, 6, 1, 1) = 0, "", OFFSET(Trust_Fund_Trial_Balances, 4, 6, 1, 1))</f>
        <v/>
      </c>
      <c r="B267" s="166">
        <f ca="1">OFFSET(Trust_Fund_Trial_Balances, 4, 7, 1, 1)</f>
        <v>0</v>
      </c>
    </row>
    <row r="268" spans="1:2" s="233" customFormat="1">
      <c r="A268" s="160" t="str">
        <f ca="1">IF(OFFSET(Trust_Fund_Trial_Balances, 5, 6, 1, 1) = 0, "", OFFSET(Trust_Fund_Trial_Balances, 5, 6, 1, 1))</f>
        <v/>
      </c>
      <c r="B268" s="166">
        <f ca="1">OFFSET(Trust_Fund_Trial_Balances, 5, 7, 1, 1)</f>
        <v>0</v>
      </c>
    </row>
    <row r="269" spans="1:2" s="233" customFormat="1">
      <c r="A269" s="160" t="str">
        <f ca="1">IF(OFFSET(Trust_Fund_Trial_Balances, 6, 6, 1, 1) = 0, "", OFFSET(Trust_Fund_Trial_Balances, 6, 6, 1, 1))</f>
        <v/>
      </c>
      <c r="B269" s="166">
        <f ca="1">OFFSET(Trust_Fund_Trial_Balances, 6, 7, 1, 1)</f>
        <v>0</v>
      </c>
    </row>
    <row r="270" spans="1:2" s="233" customFormat="1">
      <c r="A270" s="160" t="str">
        <f ca="1">IF(OFFSET(Trust_Fund_Trial_Balances, 7, 6, 1, 1) = 0, "", OFFSET(Trust_Fund_Trial_Balances, 7, 6, 1, 1))</f>
        <v/>
      </c>
      <c r="B270" s="166">
        <f ca="1">OFFSET(Trust_Fund_Trial_Balances, 7, 7, 1, 1)</f>
        <v>0</v>
      </c>
    </row>
    <row r="271" spans="1:2" s="233" customFormat="1">
      <c r="A271" s="160" t="str">
        <f ca="1">IF(OFFSET(Trust_Fund_Trial_Balances, 8, 6, 1, 1) = 0, "", OFFSET(Trust_Fund_Trial_Balances, 8, 6, 1, 1))</f>
        <v/>
      </c>
      <c r="B271" s="166">
        <f ca="1">OFFSET(Trust_Fund_Trial_Balances, 8, 7, 1, 1)</f>
        <v>0</v>
      </c>
    </row>
    <row r="272" spans="1:2" s="233" customFormat="1">
      <c r="A272" s="160" t="str">
        <f ca="1">IF(OFFSET(Trust_Fund_Trial_Balances, 9, 6, 1, 1) = 0, "", OFFSET(Trust_Fund_Trial_Balances, 9, 6, 1, 1))</f>
        <v/>
      </c>
      <c r="B272" s="166">
        <f ca="1">OFFSET(Trust_Fund_Trial_Balances, 9, 7, 1, 1)</f>
        <v>0</v>
      </c>
    </row>
    <row r="273" spans="1:2" s="233" customFormat="1">
      <c r="A273" s="160" t="str">
        <f ca="1">IF(OFFSET(Trust_Fund_Trial_Balances, 10, 6, 1, 1) = 0, "", OFFSET(Trust_Fund_Trial_Balances, 10, 6, 1, 1))</f>
        <v/>
      </c>
      <c r="B273" s="166">
        <f ca="1">OFFSET(Trust_Fund_Trial_Balances, 10, 7, 1, 1)</f>
        <v>0</v>
      </c>
    </row>
    <row r="274" spans="1:2" s="233" customFormat="1">
      <c r="A274" s="160" t="str">
        <f ca="1">IF(OFFSET(Trust_Fund_Trial_Balances, 11, 6, 1, 1) = 0, "", OFFSET(Trust_Fund_Trial_Balances, 11, 6, 1, 1))</f>
        <v/>
      </c>
      <c r="B274" s="166">
        <f ca="1">OFFSET(Trust_Fund_Trial_Balances, 11, 7, 1, 1)</f>
        <v>0</v>
      </c>
    </row>
    <row r="275" spans="1:2" s="233" customFormat="1">
      <c r="A275" s="160" t="str">
        <f ca="1">IF(OFFSET(Trust_Fund_Trial_Balances, 12, 6, 1, 1) = 0, "", OFFSET(Trust_Fund_Trial_Balances, 12, 6, 1, 1))</f>
        <v/>
      </c>
      <c r="B275" s="166">
        <f ca="1">OFFSET(Trust_Fund_Trial_Balances, 12, 7, 1, 1)</f>
        <v>0</v>
      </c>
    </row>
    <row r="276" spans="1:2" s="233" customFormat="1">
      <c r="A276" s="160" t="str">
        <f ca="1">IF(OFFSET(Trust_Fund_Trial_Balances, 13, 6, 1, 1) = 0, "", OFFSET(Trust_Fund_Trial_Balances, 13, 6, 1, 1))</f>
        <v/>
      </c>
      <c r="B276" s="166">
        <f ca="1">OFFSET(Trust_Fund_Trial_Balances, 13, 7, 1, 1)</f>
        <v>0</v>
      </c>
    </row>
    <row r="277" spans="1:2" s="233" customFormat="1">
      <c r="A277" s="160" t="str">
        <f ca="1">IF(OFFSET(Trust_Fund_Trial_Balances, 14, 6, 1, 1) = 0, "", OFFSET(Trust_Fund_Trial_Balances, 14, 6, 1, 1))</f>
        <v/>
      </c>
      <c r="B277" s="166">
        <f ca="1">OFFSET(Trust_Fund_Trial_Balances, 14, 7, 1, 1)</f>
        <v>0</v>
      </c>
    </row>
    <row r="278" spans="1:2" s="233" customFormat="1">
      <c r="A278" s="160" t="str">
        <f ca="1">IF(OFFSET(Trust_Fund_Trial_Balances, 15, 6, 1, 1) = 0, "", OFFSET(Trust_Fund_Trial_Balances, 15, 6, 1, 1))</f>
        <v/>
      </c>
      <c r="B278" s="166">
        <f ca="1">OFFSET(Trust_Fund_Trial_Balances, 15, 7, 1, 1)</f>
        <v>0</v>
      </c>
    </row>
    <row r="279" spans="1:2" s="233" customFormat="1">
      <c r="A279" s="160" t="str">
        <f ca="1">IF(OFFSET(Trust_Fund_Trial_Balances, 16, 6, 1, 1) = 0, "", OFFSET(Trust_Fund_Trial_Balances, 16, 6, 1, 1))</f>
        <v/>
      </c>
      <c r="B279" s="166">
        <f ca="1">OFFSET(Trust_Fund_Trial_Balances, 16, 7, 1, 1)</f>
        <v>0</v>
      </c>
    </row>
    <row r="280" spans="1:2" s="233" customFormat="1">
      <c r="A280" s="160" t="str">
        <f ca="1">IF(OFFSET(Trust_Fund_Trial_Balances, 17, 6, 1, 1) = 0, "", OFFSET(Trust_Fund_Trial_Balances, 17, 6, 1, 1))</f>
        <v/>
      </c>
      <c r="B280" s="166">
        <f ca="1">OFFSET(Trust_Fund_Trial_Balances, 17, 7, 1, 1)</f>
        <v>0</v>
      </c>
    </row>
    <row r="281" spans="1:2" s="233" customFormat="1">
      <c r="A281" s="160" t="str">
        <f ca="1">IF(OFFSET(Trust_Fund_Trial_Balances, 18, 6, 1, 1) = 0, "", OFFSET(Trust_Fund_Trial_Balances, 18, 6, 1, 1))</f>
        <v/>
      </c>
      <c r="B281" s="166">
        <f ca="1">OFFSET(Trust_Fund_Trial_Balances, 18, 7, 1, 1)</f>
        <v>0</v>
      </c>
    </row>
    <row r="282" spans="1:2" s="233" customFormat="1">
      <c r="A282" s="160" t="str">
        <f ca="1">IF(OFFSET(Trust_Fund_Trial_Balances, 19, 6, 1, 1) = 0, "", OFFSET(Trust_Fund_Trial_Balances, 19, 6, 1, 1))</f>
        <v/>
      </c>
      <c r="B282" s="166">
        <f ca="1">OFFSET(Trust_Fund_Trial_Balances, 19, 7, 1, 1)</f>
        <v>0</v>
      </c>
    </row>
    <row r="283" spans="1:2" s="233" customFormat="1">
      <c r="A283" s="160" t="str">
        <f ca="1">IF(OFFSET(Trust_Fund_Trial_Balances, 20, 6, 1, 1) = 0, "", OFFSET(Trust_Fund_Trial_Balances, 20, 6, 1, 1))</f>
        <v/>
      </c>
      <c r="B283" s="166">
        <f ca="1">OFFSET(Trust_Fund_Trial_Balances, 20, 7, 1, 1)</f>
        <v>0</v>
      </c>
    </row>
    <row r="284" spans="1:2" s="233" customFormat="1">
      <c r="A284" s="160" t="str">
        <f ca="1">IF(OFFSET(Trust_Fund_Trial_Balances, 21, 6, 1, 1) = 0, "", OFFSET(Trust_Fund_Trial_Balances, 21, 6, 1, 1))</f>
        <v/>
      </c>
      <c r="B284" s="166">
        <f ca="1">OFFSET(Trust_Fund_Trial_Balances, 21, 7, 1, 1)</f>
        <v>0</v>
      </c>
    </row>
    <row r="285" spans="1:2" s="233" customFormat="1">
      <c r="A285" s="160" t="str">
        <f ca="1">IF(OFFSET(Trust_Fund_Trial_Balances, 22, 6, 1, 1) = 0, "", OFFSET(Trust_Fund_Trial_Balances, 22, 6, 1, 1))</f>
        <v/>
      </c>
      <c r="B285" s="166">
        <f ca="1">OFFSET(Trust_Fund_Trial_Balances, 22, 7, 1, 1)</f>
        <v>0</v>
      </c>
    </row>
    <row r="286" spans="1:2" s="233" customFormat="1">
      <c r="A286" s="160" t="str">
        <f ca="1">IF(OFFSET(Trust_Fund_Trial_Balances, 23, 6, 1, 1) = 0, "", OFFSET(Trust_Fund_Trial_Balances, 23, 6, 1, 1))</f>
        <v/>
      </c>
      <c r="B286" s="166">
        <f ca="1">OFFSET(Trust_Fund_Trial_Balances, 23, 7, 1, 1)</f>
        <v>0</v>
      </c>
    </row>
    <row r="287" spans="1:2" s="233" customFormat="1">
      <c r="A287" s="160" t="str">
        <f ca="1">IF(OFFSET(Trust_Fund_Trial_Balances, 24, 6, 1, 1) = 0, "", OFFSET(Trust_Fund_Trial_Balances, 24, 6, 1, 1))</f>
        <v/>
      </c>
      <c r="B287" s="166">
        <f ca="1">OFFSET(Trust_Fund_Trial_Balances, 24, 7, 1, 1)</f>
        <v>0</v>
      </c>
    </row>
    <row r="288" spans="1:2" s="233" customFormat="1">
      <c r="A288" s="160" t="str">
        <f ca="1">IF(OFFSET(Trust_Fund_Trial_Balances, 25, 6, 1, 1) = 0, "", OFFSET(Trust_Fund_Trial_Balances, 25, 6, 1, 1))</f>
        <v/>
      </c>
      <c r="B288" s="166">
        <f ca="1">OFFSET(Trust_Fund_Trial_Balances, 25, 7, 1, 1)</f>
        <v>0</v>
      </c>
    </row>
    <row r="289" spans="1:21" s="233" customFormat="1">
      <c r="A289" s="160" t="str">
        <f ca="1">IF(OFFSET(Trust_Fund_Trial_Balances, 26, 6, 1, 1) = 0, "", OFFSET(Trust_Fund_Trial_Balances, 26, 6, 1, 1))</f>
        <v/>
      </c>
      <c r="B289" s="166">
        <f ca="1">OFFSET(Trust_Fund_Trial_Balances, 26, 7, 1, 1)</f>
        <v>0</v>
      </c>
    </row>
    <row r="290" spans="1:21" s="233" customFormat="1">
      <c r="A290" s="160" t="str">
        <f ca="1">IF(OFFSET(Trust_Fund_Trial_Balances, 27, 6, 1, 1) = 0, "", OFFSET(Trust_Fund_Trial_Balances, 27, 6, 1, 1))</f>
        <v/>
      </c>
      <c r="B290" s="166">
        <f ca="1">OFFSET(Trust_Fund_Trial_Balances, 27, 7, 1, 1)</f>
        <v>0</v>
      </c>
    </row>
    <row r="291" spans="1:21" s="233" customFormat="1">
      <c r="A291" s="160" t="str">
        <f ca="1">IF(OFFSET(Trust_Fund_Trial_Balances, 28, 6, 1, 1) = 0, "", OFFSET(Trust_Fund_Trial_Balances, 28, 6, 1, 1))</f>
        <v/>
      </c>
      <c r="B291" s="166">
        <f ca="1">OFFSET(Trust_Fund_Trial_Balances, 28, 7, 1, 1)</f>
        <v>0</v>
      </c>
    </row>
    <row r="292" spans="1:21" s="233" customFormat="1" ht="15" thickBot="1">
      <c r="A292" s="161" t="str">
        <f ca="1">IF(OFFSET(Trust_Fund_Trial_Balances, 29, 6, 1, 1) = 0, "", OFFSET(Trust_Fund_Trial_Balances, 29, 6, 1, 1))</f>
        <v/>
      </c>
      <c r="B292" s="167">
        <f ca="1">OFFSET(Trust_Fund_Trial_Balances, 29, 7, 1, 1)</f>
        <v>0</v>
      </c>
    </row>
    <row r="293" spans="1:21" s="233" customFormat="1"/>
    <row r="294" spans="1:21" ht="15" thickBot="1">
      <c r="A294" t="s">
        <v>869</v>
      </c>
    </row>
    <row r="295" spans="1:21" s="95" customFormat="1">
      <c r="A295" s="96" t="s">
        <v>572</v>
      </c>
      <c r="B295" s="98" t="s">
        <v>703</v>
      </c>
    </row>
    <row r="296" spans="1:21">
      <c r="A296" s="158" t="str">
        <f>IF('Demand for Pmt. Notice (Print)'!A10 = 0, "", 'Demand for Pmt. Notice (Print)'!A10)</f>
        <v>CCAD-AFC</v>
      </c>
      <c r="B296" s="118">
        <f>'Demand for Pmt. Notice (Print)'!H10</f>
        <v>0</v>
      </c>
    </row>
    <row r="297" spans="1:21">
      <c r="A297" s="158" t="str">
        <f>IF('Demand for Pmt. Notice (Print)'!A11 = 0, "", 'Demand for Pmt. Notice (Print)'!A11)</f>
        <v>CBA-AFC</v>
      </c>
      <c r="B297" s="118">
        <f>'Demand for Pmt. Notice (Print)'!H11</f>
        <v>0</v>
      </c>
    </row>
    <row r="298" spans="1:21" ht="15" thickBot="1">
      <c r="A298" s="154"/>
      <c r="B298" s="119"/>
    </row>
    <row r="299" spans="1:21" s="233" customFormat="1">
      <c r="A299" s="234"/>
      <c r="B299" s="234"/>
    </row>
    <row r="300" spans="1:21" ht="15" thickBot="1">
      <c r="A300" t="s">
        <v>870</v>
      </c>
    </row>
    <row r="301" spans="1:21" ht="43.5">
      <c r="A301" s="101" t="s">
        <v>704</v>
      </c>
      <c r="B301" s="102" t="s">
        <v>705</v>
      </c>
      <c r="C301" s="102" t="s">
        <v>706</v>
      </c>
      <c r="D301" s="102" t="s">
        <v>707</v>
      </c>
      <c r="E301" s="102" t="s">
        <v>708</v>
      </c>
      <c r="F301" s="102" t="s">
        <v>709</v>
      </c>
      <c r="G301" s="102" t="s">
        <v>710</v>
      </c>
      <c r="H301" s="102" t="s">
        <v>711</v>
      </c>
      <c r="I301" s="102" t="s">
        <v>712</v>
      </c>
      <c r="J301" s="102" t="s">
        <v>713</v>
      </c>
      <c r="K301" s="102" t="s">
        <v>714</v>
      </c>
      <c r="L301" s="102" t="s">
        <v>715</v>
      </c>
      <c r="M301" s="102" t="s">
        <v>716</v>
      </c>
      <c r="N301" s="102" t="s">
        <v>717</v>
      </c>
      <c r="O301" s="102" t="s">
        <v>718</v>
      </c>
      <c r="P301" s="102" t="s">
        <v>719</v>
      </c>
      <c r="Q301" s="102" t="s">
        <v>720</v>
      </c>
      <c r="R301" s="102" t="s">
        <v>721</v>
      </c>
      <c r="S301" s="102" t="s">
        <v>722</v>
      </c>
      <c r="T301" s="102" t="s">
        <v>723</v>
      </c>
      <c r="U301" s="103" t="s">
        <v>724</v>
      </c>
    </row>
    <row r="302" spans="1:21" ht="15" thickBot="1">
      <c r="A302" s="170">
        <f>IF('AFC Compliance Summary (Print)'!J12 = "", MINVALDBL, 'AFC Compliance Summary (Print)'!J12)</f>
        <v>-99999.99</v>
      </c>
      <c r="B302" s="171">
        <f>IF('AFC Compliance Summary (Print)'!J14 = "", MINVALDBL, 'AFC Compliance Summary (Print)'!J14)</f>
        <v>-99999.99</v>
      </c>
      <c r="C302" s="171">
        <f>IF('AFC Compliance Summary (Print)'!J16 = "", MINVALDBL, 'AFC Compliance Summary (Print)'!J16)</f>
        <v>-99999.99</v>
      </c>
      <c r="D302" s="171">
        <f>IF('AFC Compliance Summary (Print)'!J18 = "", MINVALDBL, 'AFC Compliance Summary (Print)'!J18)</f>
        <v>-99999.99</v>
      </c>
      <c r="E302" s="171">
        <f>IF('AFC Compliance Summary (Print)'!J20 = "", MINVALDBL, 'AFC Compliance Summary (Print)'!J20)</f>
        <v>-99999.99</v>
      </c>
      <c r="F302" s="171">
        <f>IF('AFC Compliance Summary (Print)'!J22 = "", MINVALDBL, 'AFC Compliance Summary (Print)'!J22)</f>
        <v>-99999.99</v>
      </c>
      <c r="G302" s="171">
        <f>IF('AFC Compliance Summary (Print)'!J24 = "", MINVALDBL, 'AFC Compliance Summary (Print)'!J24)</f>
        <v>-99999.99</v>
      </c>
      <c r="H302" s="171">
        <f>IF('AFC Compliance Summary (Print)'!J26 = "", MINVALDBL, 'AFC Compliance Summary (Print)'!J26)</f>
        <v>-99999.99</v>
      </c>
      <c r="I302" s="171">
        <f>IF('AFC Compliance Summary (Print)'!J28 = "", MINVALDBL, 'AFC Compliance Summary (Print)'!J28)</f>
        <v>-99999.99</v>
      </c>
      <c r="J302" s="171">
        <f>IF('AFC Compliance Summary (Print)'!J30 = "", MINVALDBL, 'AFC Compliance Summary (Print)'!J30)</f>
        <v>-99999.99</v>
      </c>
      <c r="K302" s="171">
        <f>IF('AFC Compliance Summary (Print)'!J32 = "", MINVALDBL, 'AFC Compliance Summary (Print)'!J32)</f>
        <v>-99999.99</v>
      </c>
      <c r="L302" s="163">
        <f>'AFC Compliance Summary (Print)'!G34</f>
        <v>0</v>
      </c>
      <c r="M302" s="163">
        <f>'AFC Compliance Summary (Print)'!H34</f>
        <v>0</v>
      </c>
      <c r="N302" s="163">
        <f>'AFC Compliance Summary (Print)'!I34</f>
        <v>0</v>
      </c>
      <c r="O302" s="171">
        <f>IF('AFC Compliance Summary (Print)'!J34 = "", MINVALDBL, 'AFC Compliance Summary (Print)'!J34)</f>
        <v>-99999.99</v>
      </c>
      <c r="P302" s="120">
        <f>'AFC Compliance Summary (Print)'!I37</f>
        <v>0</v>
      </c>
      <c r="Q302" s="163">
        <f>'OHR Compliance Summary (Print)'!G34</f>
        <v>0</v>
      </c>
      <c r="R302" s="163">
        <f>'OHR Compliance Summary (Print)'!H34</f>
        <v>0</v>
      </c>
      <c r="S302" s="163">
        <f>'OHR Compliance Summary (Print)'!I34</f>
        <v>0</v>
      </c>
      <c r="T302" s="171">
        <f>IF('OHR Compliance Summary (Print)'!J34 = "", MINVALDBL, 'OHR Compliance Summary (Print)'!J34)</f>
        <v>-99999.99</v>
      </c>
      <c r="U302" s="119">
        <f>'OHR Compliance Summary (Print)'!I36</f>
        <v>0</v>
      </c>
    </row>
    <row r="303" spans="1:21" ht="15" thickBot="1">
      <c r="A303" s="124"/>
      <c r="B303" s="124"/>
      <c r="C303" s="124"/>
      <c r="D303" s="124"/>
      <c r="E303" s="124"/>
      <c r="F303" s="124"/>
      <c r="G303" s="124"/>
      <c r="H303" s="124"/>
      <c r="I303" s="124"/>
      <c r="J303" s="124"/>
      <c r="K303" s="124"/>
      <c r="L303" s="112"/>
      <c r="M303" s="112"/>
      <c r="N303" s="112"/>
      <c r="O303" s="112"/>
      <c r="P303" s="125"/>
      <c r="Q303" s="112"/>
      <c r="R303" s="112"/>
      <c r="S303" s="112"/>
      <c r="T303" s="112"/>
      <c r="U303" s="125"/>
    </row>
    <row r="304" spans="1:21">
      <c r="A304" s="132" t="s">
        <v>830</v>
      </c>
      <c r="B304" s="133"/>
      <c r="C304" s="133"/>
      <c r="D304" s="133"/>
      <c r="E304" s="133"/>
      <c r="F304" s="133"/>
      <c r="G304" s="133"/>
      <c r="H304" s="133"/>
      <c r="I304" s="134"/>
      <c r="J304" s="124"/>
      <c r="K304" s="124"/>
      <c r="L304" s="112"/>
      <c r="M304" s="112"/>
      <c r="N304" s="112"/>
      <c r="O304" s="112"/>
      <c r="P304" s="125"/>
      <c r="Q304" s="112"/>
      <c r="R304" s="112"/>
      <c r="S304" s="112"/>
      <c r="T304" s="112"/>
      <c r="U304" s="125"/>
    </row>
    <row r="305" spans="1:21" ht="15" thickBot="1">
      <c r="A305" s="135" t="s">
        <v>871</v>
      </c>
      <c r="B305" s="124"/>
      <c r="C305" s="124"/>
      <c r="D305" s="124"/>
      <c r="E305" s="124"/>
      <c r="F305" s="124"/>
      <c r="G305" s="124"/>
      <c r="H305" s="124"/>
      <c r="I305" s="136"/>
      <c r="J305" s="124"/>
      <c r="K305" s="124"/>
      <c r="L305" s="112"/>
      <c r="M305" s="112"/>
      <c r="N305" s="112"/>
      <c r="O305" s="112"/>
      <c r="P305" s="125"/>
      <c r="Q305" s="112"/>
      <c r="R305" s="112"/>
      <c r="S305" s="112"/>
      <c r="T305" s="112"/>
      <c r="U305" s="125"/>
    </row>
    <row r="306" spans="1:21" s="95" customFormat="1">
      <c r="A306" s="129" t="s">
        <v>831</v>
      </c>
      <c r="B306" s="131" t="s">
        <v>832</v>
      </c>
      <c r="C306" s="365" t="s">
        <v>833</v>
      </c>
      <c r="D306" s="365" t="s">
        <v>834</v>
      </c>
      <c r="E306" s="365" t="s">
        <v>835</v>
      </c>
      <c r="F306" s="365" t="s">
        <v>836</v>
      </c>
      <c r="G306" s="365" t="s">
        <v>837</v>
      </c>
      <c r="H306" s="365" t="s">
        <v>838</v>
      </c>
      <c r="I306" s="137"/>
      <c r="J306" s="126"/>
      <c r="K306" s="126"/>
      <c r="L306" s="127"/>
      <c r="M306" s="127"/>
      <c r="N306" s="127"/>
      <c r="O306" s="127"/>
      <c r="P306" s="128"/>
      <c r="Q306" s="127"/>
      <c r="R306" s="127"/>
      <c r="S306" s="127"/>
      <c r="T306" s="127"/>
      <c r="U306" s="128"/>
    </row>
    <row r="307" spans="1:21">
      <c r="A307" s="168">
        <v>1</v>
      </c>
      <c r="B307" s="156">
        <f ca="1">OFFSET('AFC Indiv. Fund Summary (Print)'!AfcAuthToMngMoney, 0, 1, 1, 1)</f>
        <v>0</v>
      </c>
      <c r="C307" s="366">
        <f ca="1">OFFSET('AFC Indiv. Fund Summary (Print)'!AfcAuthToMngMoney, 0, 2, 1, 1)</f>
        <v>0</v>
      </c>
      <c r="D307" s="366">
        <v>0</v>
      </c>
      <c r="E307" s="366">
        <v>0</v>
      </c>
      <c r="F307" s="366">
        <v>0</v>
      </c>
      <c r="G307" s="366">
        <v>0</v>
      </c>
      <c r="H307" s="366">
        <v>0</v>
      </c>
      <c r="I307" s="136"/>
      <c r="J307" s="124"/>
      <c r="K307" s="124"/>
      <c r="L307" s="112"/>
      <c r="M307" s="112"/>
      <c r="N307" s="112"/>
      <c r="O307" s="112"/>
      <c r="P307" s="125"/>
      <c r="Q307" s="112"/>
      <c r="R307" s="112"/>
      <c r="S307" s="112"/>
      <c r="T307" s="112"/>
      <c r="U307" s="125"/>
    </row>
    <row r="308" spans="1:21">
      <c r="A308" s="168">
        <v>1</v>
      </c>
      <c r="B308" s="156">
        <f ca="1">OFFSET('AFC Indiv. Fund Summary (Print)'!AfcAuthToMngMoney, 1, 1, 1, 1)</f>
        <v>0</v>
      </c>
      <c r="C308" s="366">
        <f ca="1">OFFSET('AFC Indiv. Fund Summary (Print)'!AfcAuthToMngMoney, 1, 2, 1, 1)</f>
        <v>0</v>
      </c>
      <c r="D308" s="366">
        <v>0</v>
      </c>
      <c r="E308" s="366">
        <v>0</v>
      </c>
      <c r="F308" s="366">
        <v>0</v>
      </c>
      <c r="G308" s="366">
        <v>0</v>
      </c>
      <c r="H308" s="366">
        <v>0</v>
      </c>
      <c r="I308" s="136"/>
      <c r="J308" s="124"/>
      <c r="K308" s="124"/>
      <c r="L308" s="112"/>
      <c r="M308" s="112"/>
      <c r="N308" s="112"/>
      <c r="O308" s="112"/>
      <c r="P308" s="125"/>
      <c r="Q308" s="112"/>
      <c r="R308" s="112"/>
      <c r="S308" s="112"/>
      <c r="T308" s="112"/>
      <c r="U308" s="125"/>
    </row>
    <row r="309" spans="1:21">
      <c r="A309" s="168">
        <v>1</v>
      </c>
      <c r="B309" s="156">
        <f ca="1">OFFSET('AFC Indiv. Fund Summary (Print)'!AfcAuthToMngMoney, 2, 1, 1, 1)</f>
        <v>0</v>
      </c>
      <c r="C309" s="366">
        <f ca="1">OFFSET('AFC Indiv. Fund Summary (Print)'!AfcAuthToMngMoney, 2, 2, 1, 1)</f>
        <v>0</v>
      </c>
      <c r="D309" s="366">
        <v>0</v>
      </c>
      <c r="E309" s="366">
        <v>0</v>
      </c>
      <c r="F309" s="366">
        <v>0</v>
      </c>
      <c r="G309" s="366">
        <v>0</v>
      </c>
      <c r="H309" s="366">
        <v>0</v>
      </c>
      <c r="I309" s="136"/>
      <c r="J309" s="124"/>
      <c r="K309" s="124"/>
      <c r="L309" s="112"/>
      <c r="M309" s="112"/>
      <c r="N309" s="112"/>
      <c r="O309" s="112"/>
      <c r="P309" s="125"/>
      <c r="Q309" s="112"/>
      <c r="R309" s="112"/>
      <c r="S309" s="112"/>
      <c r="T309" s="112"/>
      <c r="U309" s="125"/>
    </row>
    <row r="310" spans="1:21">
      <c r="A310" s="168">
        <v>1</v>
      </c>
      <c r="B310" s="156">
        <f ca="1">OFFSET('AFC Indiv. Fund Summary (Print)'!AfcAuthToMngMoney, 3, 1, 1, 1)</f>
        <v>0</v>
      </c>
      <c r="C310" s="366">
        <f ca="1">OFFSET('AFC Indiv. Fund Summary (Print)'!AfcAuthToMngMoney, 3, 2, 1, 1)</f>
        <v>0</v>
      </c>
      <c r="D310" s="366">
        <v>0</v>
      </c>
      <c r="E310" s="366">
        <v>0</v>
      </c>
      <c r="F310" s="366">
        <v>0</v>
      </c>
      <c r="G310" s="366">
        <v>0</v>
      </c>
      <c r="H310" s="366">
        <v>0</v>
      </c>
      <c r="I310" s="136"/>
      <c r="J310" s="124"/>
      <c r="K310" s="124"/>
      <c r="L310" s="112"/>
      <c r="M310" s="112"/>
      <c r="N310" s="112"/>
      <c r="O310" s="112"/>
      <c r="P310" s="125"/>
      <c r="Q310" s="112"/>
      <c r="R310" s="112"/>
      <c r="S310" s="112"/>
      <c r="T310" s="112"/>
      <c r="U310" s="125"/>
    </row>
    <row r="311" spans="1:21">
      <c r="A311" s="168">
        <v>1</v>
      </c>
      <c r="B311" s="156">
        <f ca="1">OFFSET('AFC Indiv. Fund Summary (Print)'!AfcAuthToMngMoney, 0,2, 1, 1)</f>
        <v>0</v>
      </c>
      <c r="C311" s="366"/>
      <c r="D311" s="366"/>
      <c r="E311" s="366"/>
      <c r="F311" s="366"/>
      <c r="G311" s="366"/>
      <c r="H311" s="366"/>
      <c r="I311" s="136"/>
      <c r="J311" s="124"/>
      <c r="K311" s="124"/>
      <c r="L311" s="112"/>
      <c r="M311" s="112"/>
      <c r="N311" s="112"/>
      <c r="O311" s="112"/>
      <c r="P311" s="125"/>
      <c r="Q311" s="112"/>
      <c r="R311" s="112"/>
      <c r="S311" s="112"/>
      <c r="T311" s="112"/>
      <c r="U311" s="125"/>
    </row>
    <row r="312" spans="1:21">
      <c r="A312" s="168">
        <v>1</v>
      </c>
      <c r="B312" s="156">
        <f ca="1">OFFSET('AFC Indiv. Fund Summary (Print)'!AfcAuthToMngMoney, 1,2, 1, 1)</f>
        <v>0</v>
      </c>
      <c r="C312" s="366"/>
      <c r="D312" s="366"/>
      <c r="E312" s="366"/>
      <c r="F312" s="366"/>
      <c r="G312" s="366"/>
      <c r="H312" s="366"/>
      <c r="I312" s="136"/>
      <c r="J312" s="124"/>
      <c r="K312" s="124"/>
      <c r="L312" s="112"/>
      <c r="M312" s="112"/>
      <c r="N312" s="112"/>
      <c r="O312" s="112"/>
      <c r="P312" s="125"/>
      <c r="Q312" s="112"/>
      <c r="R312" s="112"/>
      <c r="S312" s="112"/>
      <c r="T312" s="112"/>
      <c r="U312" s="125"/>
    </row>
    <row r="313" spans="1:21">
      <c r="A313" s="168">
        <v>1</v>
      </c>
      <c r="B313" s="156">
        <f ca="1">OFFSET('AFC Indiv. Fund Summary (Print)'!AfcAuthToMngMoney, 2,2, 1, 1)</f>
        <v>0</v>
      </c>
      <c r="C313" s="366"/>
      <c r="D313" s="366"/>
      <c r="E313" s="366"/>
      <c r="F313" s="366"/>
      <c r="G313" s="366"/>
      <c r="H313" s="366"/>
      <c r="I313" s="136"/>
      <c r="J313" s="124"/>
      <c r="K313" s="124"/>
      <c r="L313" s="112"/>
      <c r="M313" s="112"/>
      <c r="N313" s="112"/>
      <c r="O313" s="112"/>
      <c r="P313" s="125"/>
      <c r="Q313" s="112"/>
      <c r="R313" s="112"/>
      <c r="S313" s="112"/>
      <c r="T313" s="112"/>
      <c r="U313" s="125"/>
    </row>
    <row r="314" spans="1:21" ht="15" thickBot="1">
      <c r="A314" s="169">
        <v>1</v>
      </c>
      <c r="B314" s="157">
        <f ca="1">OFFSET('AFC Indiv. Fund Summary (Print)'!AfcAuthToMngMoney, 3,2, 1, 1)</f>
        <v>0</v>
      </c>
      <c r="C314" s="366"/>
      <c r="D314" s="366"/>
      <c r="E314" s="366"/>
      <c r="F314" s="366"/>
      <c r="G314" s="366"/>
      <c r="H314" s="366"/>
      <c r="I314" s="136"/>
      <c r="J314" s="124"/>
      <c r="K314" s="124"/>
      <c r="L314" s="112"/>
      <c r="M314" s="112"/>
      <c r="N314" s="112"/>
      <c r="O314" s="112"/>
      <c r="P314" s="125"/>
      <c r="Q314" s="112"/>
      <c r="R314" s="112"/>
      <c r="S314" s="112"/>
      <c r="T314" s="112"/>
      <c r="U314" s="125"/>
    </row>
    <row r="315" spans="1:21">
      <c r="A315" s="135"/>
      <c r="B315" s="124"/>
      <c r="C315" s="124"/>
      <c r="D315" s="124"/>
      <c r="E315" s="124"/>
      <c r="F315" s="124"/>
      <c r="G315" s="124"/>
      <c r="H315" s="124"/>
      <c r="I315" s="136"/>
      <c r="J315" s="124"/>
      <c r="K315" s="124"/>
      <c r="L315" s="112"/>
      <c r="M315" s="112"/>
      <c r="N315" s="112"/>
      <c r="O315" s="112"/>
      <c r="P315" s="125"/>
      <c r="Q315" s="112"/>
      <c r="R315" s="112"/>
      <c r="S315" s="112"/>
      <c r="T315" s="112"/>
      <c r="U315" s="125"/>
    </row>
    <row r="316" spans="1:21" ht="15" thickBot="1">
      <c r="A316" s="135" t="s">
        <v>872</v>
      </c>
      <c r="B316" s="124"/>
      <c r="C316" s="124"/>
      <c r="D316" s="124"/>
      <c r="E316" s="124"/>
      <c r="F316" s="124"/>
      <c r="G316" s="124"/>
      <c r="H316" s="124"/>
      <c r="I316" s="136"/>
      <c r="J316" s="124"/>
      <c r="K316" s="124"/>
      <c r="L316" s="112"/>
      <c r="M316" s="112"/>
      <c r="N316" s="112"/>
      <c r="O316" s="112"/>
      <c r="P316" s="125"/>
      <c r="Q316" s="112"/>
      <c r="R316" s="112"/>
      <c r="S316" s="112"/>
      <c r="T316" s="112"/>
      <c r="U316" s="125"/>
    </row>
    <row r="317" spans="1:21" s="95" customFormat="1">
      <c r="A317" s="129" t="s">
        <v>831</v>
      </c>
      <c r="B317" s="130" t="s">
        <v>839</v>
      </c>
      <c r="C317" s="131" t="s">
        <v>840</v>
      </c>
      <c r="D317" s="126"/>
      <c r="E317" s="126"/>
      <c r="F317" s="126"/>
      <c r="G317" s="126"/>
      <c r="H317" s="126"/>
      <c r="I317" s="137"/>
      <c r="J317" s="126"/>
      <c r="K317" s="126"/>
      <c r="L317" s="127"/>
      <c r="M317" s="127"/>
      <c r="N317" s="127"/>
      <c r="O317" s="127"/>
      <c r="P317" s="128"/>
      <c r="Q317" s="127"/>
      <c r="R317" s="127"/>
      <c r="S317" s="127"/>
      <c r="T317" s="127"/>
      <c r="U317" s="128"/>
    </row>
    <row r="318" spans="1:21">
      <c r="A318" s="168">
        <f ca="1">OFFSET('AFC Indiv. Fund Summary (Print)'!PldPtyCshFndRcncltn, 0, 0, 1, 1)</f>
        <v>2</v>
      </c>
      <c r="B318" s="116">
        <f ca="1">OFFSET('AFC Indiv. Fund Summary (Print)'!PldPtyCshFndRcncltn, 0, 1, 1, 1)</f>
        <v>0</v>
      </c>
      <c r="C318" s="166">
        <f ca="1">OFFSET('AFC Indiv. Fund Summary (Print)'!PldPtyCshFndRcncltn, 0, 2, 1, 1)</f>
        <v>0</v>
      </c>
      <c r="D318" s="124"/>
      <c r="E318" s="124"/>
      <c r="F318" s="124"/>
      <c r="G318" s="124"/>
      <c r="H318" s="124"/>
      <c r="I318" s="136"/>
      <c r="J318" s="124"/>
      <c r="K318" s="124"/>
      <c r="L318" s="112"/>
      <c r="M318" s="112"/>
      <c r="N318" s="112"/>
      <c r="O318" s="112"/>
      <c r="P318" s="125"/>
      <c r="Q318" s="112"/>
      <c r="R318" s="112"/>
      <c r="S318" s="112"/>
      <c r="T318" s="112"/>
      <c r="U318" s="125"/>
    </row>
    <row r="319" spans="1:21" ht="15" thickBot="1">
      <c r="A319" s="169">
        <f ca="1">OFFSET('AFC Indiv. Fund Summary (Print)'!PldPtyCshFndRcncltn, 1, 0, 1, 1)</f>
        <v>3</v>
      </c>
      <c r="B319" s="117">
        <f ca="1">OFFSET('AFC Indiv. Fund Summary (Print)'!PldPtyCshFndRcncltn, 1, 1, 1, 1)</f>
        <v>0</v>
      </c>
      <c r="C319" s="167">
        <f ca="1">OFFSET('AFC Indiv. Fund Summary (Print)'!PldPtyCshFndRcncltn, 1, 2, 1, 1)</f>
        <v>0</v>
      </c>
      <c r="D319" s="124"/>
      <c r="E319" s="124"/>
      <c r="F319" s="124"/>
      <c r="G319" s="124"/>
      <c r="H319" s="124"/>
      <c r="I319" s="136"/>
      <c r="J319" s="124"/>
      <c r="K319" s="124"/>
      <c r="L319" s="112"/>
      <c r="M319" s="112"/>
      <c r="N319" s="112"/>
      <c r="O319" s="112"/>
      <c r="P319" s="125"/>
      <c r="Q319" s="112"/>
      <c r="R319" s="112"/>
      <c r="S319" s="112"/>
      <c r="T319" s="112"/>
      <c r="U319" s="125"/>
    </row>
    <row r="320" spans="1:21">
      <c r="A320" s="135"/>
      <c r="B320" s="124"/>
      <c r="C320" s="124"/>
      <c r="D320" s="124"/>
      <c r="E320" s="124"/>
      <c r="F320" s="124"/>
      <c r="G320" s="124"/>
      <c r="H320" s="124"/>
      <c r="I320" s="136"/>
      <c r="J320" s="124"/>
      <c r="K320" s="124"/>
      <c r="L320" s="112"/>
      <c r="M320" s="112"/>
      <c r="N320" s="112"/>
      <c r="O320" s="112"/>
      <c r="P320" s="125"/>
      <c r="Q320" s="112"/>
      <c r="R320" s="112"/>
      <c r="S320" s="112"/>
      <c r="T320" s="112"/>
      <c r="U320" s="125"/>
    </row>
    <row r="321" spans="1:22" ht="15" thickBot="1">
      <c r="A321" s="135" t="s">
        <v>873</v>
      </c>
      <c r="B321" s="124"/>
      <c r="C321" s="124"/>
      <c r="D321" s="124"/>
      <c r="E321" s="124"/>
      <c r="F321" s="124"/>
      <c r="G321" s="124"/>
      <c r="H321" s="124"/>
      <c r="I321" s="136"/>
      <c r="J321" s="124"/>
      <c r="K321" s="124"/>
      <c r="L321" s="112"/>
      <c r="M321" s="112"/>
      <c r="N321" s="112"/>
      <c r="O321" s="112"/>
      <c r="P321" s="125"/>
      <c r="Q321" s="112"/>
      <c r="R321" s="112"/>
      <c r="S321" s="112"/>
      <c r="T321" s="112"/>
      <c r="U321" s="125"/>
    </row>
    <row r="322" spans="1:22" s="95" customFormat="1">
      <c r="A322" s="130" t="s">
        <v>831</v>
      </c>
      <c r="B322" s="130" t="s">
        <v>841</v>
      </c>
      <c r="C322" s="130" t="s">
        <v>839</v>
      </c>
      <c r="D322" s="131" t="s">
        <v>840</v>
      </c>
      <c r="E322" s="126"/>
      <c r="F322" s="126"/>
      <c r="G322" s="126"/>
      <c r="H322" s="126"/>
      <c r="I322" s="137"/>
      <c r="J322" s="126"/>
      <c r="K322" s="126"/>
      <c r="L322" s="126"/>
      <c r="M322" s="127"/>
      <c r="N322" s="127"/>
      <c r="O322" s="127"/>
      <c r="P322" s="127"/>
      <c r="Q322" s="128"/>
      <c r="R322" s="127"/>
      <c r="S322" s="127"/>
      <c r="T322" s="127"/>
      <c r="U322" s="127"/>
      <c r="V322" s="128"/>
    </row>
    <row r="323" spans="1:22">
      <c r="A323" s="162">
        <f ca="1">OFFSET('AFC Indiv. Fund Summary (Print)'!IndvPtyCshFndRcncltn, 0, 0, 1, 1)</f>
        <v>0</v>
      </c>
      <c r="B323" s="162">
        <f ca="1">OFFSET('AFC Indiv. Fund Summary (Print)'!IndvPtyCshFndRcncltn, 0, 1, 1, 1)</f>
        <v>0</v>
      </c>
      <c r="C323" s="116">
        <f ca="1">IF(OFFSET('AFC Indiv. Fund Summary (Print)'!IndvPtyCshFndRcncltn, 0, 2, 1, 1)="",0,OFFSET('AFC Indiv. Fund Summary (Print)'!IndvPtyCshFndRcncltn, 0, 2, 1, 1))</f>
        <v>0</v>
      </c>
      <c r="D323" s="166">
        <f ca="1">IF(OFFSET('AFC Indiv. Fund Summary (Print)'!IndvPtyCshFndRcncltn, 0, 3, 1, 1)="",0,OFFSET('AFC Indiv. Fund Summary (Print)'!IndvPtyCshFndRcncltn, 0, 3, 1, 1))</f>
        <v>0</v>
      </c>
      <c r="E323" s="124"/>
      <c r="F323" s="124"/>
      <c r="G323" s="124"/>
      <c r="H323" s="124"/>
      <c r="I323" s="136"/>
      <c r="J323" s="124"/>
      <c r="K323" s="124"/>
      <c r="L323" s="112"/>
      <c r="M323" s="112"/>
      <c r="N323" s="112"/>
      <c r="O323" s="112"/>
      <c r="P323" s="125"/>
      <c r="Q323" s="112"/>
      <c r="R323" s="112"/>
      <c r="S323" s="112"/>
      <c r="T323" s="112"/>
      <c r="U323" s="125"/>
    </row>
    <row r="324" spans="1:22">
      <c r="A324" s="162">
        <f ca="1">OFFSET('AFC Indiv. Fund Summary (Print)'!IndvPtyCshFndRcncltn, 1, 0, 1, 1)</f>
        <v>0</v>
      </c>
      <c r="B324" s="162">
        <f ca="1">OFFSET('AFC Indiv. Fund Summary (Print)'!IndvPtyCshFndRcncltn, 1, 1, 1, 1)</f>
        <v>0</v>
      </c>
      <c r="C324" s="116">
        <f ca="1">IF(OFFSET('AFC Indiv. Fund Summary (Print)'!IndvPtyCshFndRcncltn, 1, 2, 1, 1)="",0,OFFSET('AFC Indiv. Fund Summary (Print)'!IndvPtyCshFndRcncltn, 1, 2, 1, 1))</f>
        <v>0</v>
      </c>
      <c r="D324" s="166">
        <f ca="1">IF(OFFSET('AFC Indiv. Fund Summary (Print)'!IndvPtyCshFndRcncltn, 1, 3, 1, 1)="",0,OFFSET('AFC Indiv. Fund Summary (Print)'!IndvPtyCshFndRcncltn, 1, 3, 1, 1))</f>
        <v>0</v>
      </c>
      <c r="E324" s="124"/>
      <c r="F324" s="124"/>
      <c r="G324" s="124"/>
      <c r="H324" s="124"/>
      <c r="I324" s="136"/>
      <c r="J324" s="124"/>
      <c r="K324" s="124"/>
      <c r="L324" s="112"/>
      <c r="M324" s="112"/>
      <c r="N324" s="112"/>
      <c r="O324" s="112"/>
      <c r="P324" s="125"/>
      <c r="Q324" s="112"/>
      <c r="R324" s="112"/>
      <c r="S324" s="112"/>
      <c r="T324" s="112"/>
      <c r="U324" s="125"/>
    </row>
    <row r="325" spans="1:22">
      <c r="A325" s="162">
        <f ca="1">OFFSET('AFC Indiv. Fund Summary (Print)'!IndvPtyCshFndRcncltn, 2, 0, 1, 1)</f>
        <v>0</v>
      </c>
      <c r="B325" s="162">
        <f ca="1">OFFSET('AFC Indiv. Fund Summary (Print)'!IndvPtyCshFndRcncltn, 2, 1, 1, 1)</f>
        <v>0</v>
      </c>
      <c r="C325" s="116">
        <f ca="1">IF(OFFSET('AFC Indiv. Fund Summary (Print)'!IndvPtyCshFndRcncltn, 2, 2, 1, 1)="",0,OFFSET('AFC Indiv. Fund Summary (Print)'!IndvPtyCshFndRcncltn, 2, 2, 1, 1))</f>
        <v>0</v>
      </c>
      <c r="D325" s="166">
        <f ca="1">IF(OFFSET('AFC Indiv. Fund Summary (Print)'!IndvPtyCshFndRcncltn, 2, 3, 1, 1)="",0,OFFSET('AFC Indiv. Fund Summary (Print)'!IndvPtyCshFndRcncltn, 2, 3, 1, 1))</f>
        <v>0</v>
      </c>
      <c r="E325" s="124"/>
      <c r="F325" s="124"/>
      <c r="G325" s="124"/>
      <c r="H325" s="124"/>
      <c r="I325" s="136"/>
      <c r="J325" s="124"/>
      <c r="K325" s="124"/>
      <c r="L325" s="112"/>
      <c r="M325" s="112"/>
      <c r="N325" s="112"/>
      <c r="O325" s="112"/>
      <c r="P325" s="125"/>
      <c r="Q325" s="112"/>
      <c r="R325" s="112"/>
      <c r="S325" s="112"/>
      <c r="T325" s="112"/>
      <c r="U325" s="125"/>
    </row>
    <row r="326" spans="1:22">
      <c r="A326" s="162">
        <f ca="1">OFFSET('AFC Indiv. Fund Summary (Print)'!IndvPtyCshFndRcncltn, 3, 0, 1, 1)</f>
        <v>0</v>
      </c>
      <c r="B326" s="162">
        <f ca="1">OFFSET('AFC Indiv. Fund Summary (Print)'!IndvPtyCshFndRcncltn, 3, 1, 1, 1)</f>
        <v>0</v>
      </c>
      <c r="C326" s="116">
        <f ca="1">IF(OFFSET('AFC Indiv. Fund Summary (Print)'!IndvPtyCshFndRcncltn, 3, 2, 1, 1)="",0,OFFSET('AFC Indiv. Fund Summary (Print)'!IndvPtyCshFndRcncltn, 3, 2, 1, 1))</f>
        <v>0</v>
      </c>
      <c r="D326" s="166">
        <f ca="1">IF(OFFSET('AFC Indiv. Fund Summary (Print)'!IndvPtyCshFndRcncltn, 3, 3, 1, 1)="",0,OFFSET('AFC Indiv. Fund Summary (Print)'!IndvPtyCshFndRcncltn, 3, 3, 1, 1))</f>
        <v>0</v>
      </c>
      <c r="E326" s="124"/>
      <c r="F326" s="124"/>
      <c r="G326" s="124"/>
      <c r="H326" s="124"/>
      <c r="I326" s="136"/>
      <c r="J326" s="124"/>
      <c r="K326" s="124"/>
      <c r="L326" s="112"/>
      <c r="M326" s="112"/>
      <c r="N326" s="112"/>
      <c r="O326" s="112"/>
      <c r="P326" s="125"/>
      <c r="Q326" s="112"/>
      <c r="R326" s="112"/>
      <c r="S326" s="112"/>
      <c r="T326" s="112"/>
      <c r="U326" s="125"/>
    </row>
    <row r="327" spans="1:22">
      <c r="A327" s="162">
        <f ca="1">OFFSET('AFC Indiv. Fund Summary (Print)'!IndvPtyCshFndRcncltn, 0, 5, 1, 1)</f>
        <v>0</v>
      </c>
      <c r="B327" s="162">
        <f ca="1">OFFSET('AFC Indiv. Fund Summary (Print)'!IndvPtyCshFndRcncltn, 0, 6, 1, 1)</f>
        <v>0</v>
      </c>
      <c r="C327" s="116">
        <f ca="1">IF(OFFSET('AFC Indiv. Fund Summary (Print)'!IndvPtyCshFndRcncltn, 0, 7, 1, 1)="",0,OFFSET('AFC Indiv. Fund Summary (Print)'!IndvPtyCshFndRcncltn, 0, 7, 1, 1))</f>
        <v>0</v>
      </c>
      <c r="D327" s="166">
        <f ca="1">IF(OFFSET('AFC Indiv. Fund Summary (Print)'!IndvPtyCshFndRcncltn, 0, 8, 1, 1)="",0,OFFSET('AFC Indiv. Fund Summary (Print)'!IndvPtyCshFndRcncltn, 0, 8, 1, 1))</f>
        <v>0</v>
      </c>
      <c r="E327" s="124"/>
      <c r="F327" s="124"/>
      <c r="G327" s="124"/>
      <c r="H327" s="124"/>
      <c r="I327" s="136"/>
      <c r="J327" s="124"/>
      <c r="K327" s="124"/>
      <c r="L327" s="112"/>
      <c r="M327" s="112"/>
      <c r="N327" s="112"/>
      <c r="O327" s="112"/>
      <c r="P327" s="125"/>
      <c r="Q327" s="112"/>
      <c r="R327" s="112"/>
      <c r="S327" s="112"/>
      <c r="T327" s="112"/>
      <c r="U327" s="125"/>
    </row>
    <row r="328" spans="1:22">
      <c r="A328" s="162">
        <f ca="1">OFFSET('AFC Indiv. Fund Summary (Print)'!IndvPtyCshFndRcncltn, 1, 5, 1, 1)</f>
        <v>0</v>
      </c>
      <c r="B328" s="162">
        <f ca="1">OFFSET('AFC Indiv. Fund Summary (Print)'!IndvPtyCshFndRcncltn, 1, 6, 1, 1)</f>
        <v>0</v>
      </c>
      <c r="C328" s="116">
        <f ca="1">IF(OFFSET('AFC Indiv. Fund Summary (Print)'!IndvPtyCshFndRcncltn, 1, 7, 1, 1)="",0,OFFSET('AFC Indiv. Fund Summary (Print)'!IndvPtyCshFndRcncltn, 1, 7, 1, 1))</f>
        <v>0</v>
      </c>
      <c r="D328" s="166">
        <f ca="1">IF(OFFSET('AFC Indiv. Fund Summary (Print)'!IndvPtyCshFndRcncltn, 1, 8, 1, 1)="",0,OFFSET('AFC Indiv. Fund Summary (Print)'!IndvPtyCshFndRcncltn, 1, 8, 1, 1))</f>
        <v>0</v>
      </c>
      <c r="E328" s="124"/>
      <c r="F328" s="124"/>
      <c r="G328" s="124"/>
      <c r="H328" s="124"/>
      <c r="I328" s="136"/>
      <c r="J328" s="124"/>
      <c r="K328" s="124"/>
      <c r="L328" s="112"/>
      <c r="M328" s="112"/>
      <c r="N328" s="112"/>
      <c r="O328" s="112"/>
      <c r="P328" s="125"/>
      <c r="Q328" s="112"/>
      <c r="R328" s="112"/>
      <c r="S328" s="112"/>
      <c r="T328" s="112"/>
      <c r="U328" s="125"/>
    </row>
    <row r="329" spans="1:22">
      <c r="A329" s="162">
        <f ca="1">OFFSET('AFC Indiv. Fund Summary (Print)'!IndvPtyCshFndRcncltn, 2, 5, 1, 1)</f>
        <v>0</v>
      </c>
      <c r="B329" s="162">
        <f ca="1">OFFSET('AFC Indiv. Fund Summary (Print)'!IndvPtyCshFndRcncltn, 2, 6, 1, 1)</f>
        <v>0</v>
      </c>
      <c r="C329" s="116">
        <f ca="1">IF(OFFSET('AFC Indiv. Fund Summary (Print)'!IndvPtyCshFndRcncltn, 2, 7, 1, 1)="",0,OFFSET('AFC Indiv. Fund Summary (Print)'!IndvPtyCshFndRcncltn, 2, 7, 1, 1))</f>
        <v>0</v>
      </c>
      <c r="D329" s="166">
        <f ca="1">IF(OFFSET('AFC Indiv. Fund Summary (Print)'!IndvPtyCshFndRcncltn, 2, 8, 1, 1)="",0,OFFSET('AFC Indiv. Fund Summary (Print)'!IndvPtyCshFndRcncltn, 2, 8, 1, 1))</f>
        <v>0</v>
      </c>
      <c r="E329" s="124"/>
      <c r="F329" s="124"/>
      <c r="G329" s="124"/>
      <c r="H329" s="124"/>
      <c r="I329" s="136"/>
      <c r="J329" s="124"/>
      <c r="K329" s="124"/>
      <c r="L329" s="112"/>
      <c r="M329" s="112"/>
      <c r="N329" s="112"/>
      <c r="O329" s="112"/>
      <c r="P329" s="125"/>
      <c r="Q329" s="112"/>
      <c r="R329" s="112"/>
      <c r="S329" s="112"/>
      <c r="T329" s="112"/>
      <c r="U329" s="125"/>
    </row>
    <row r="330" spans="1:22" ht="15" thickBot="1">
      <c r="A330" s="163">
        <f ca="1">OFFSET('AFC Indiv. Fund Summary (Print)'!IndvPtyCshFndRcncltn, 3, 5, 1, 1)</f>
        <v>0</v>
      </c>
      <c r="B330" s="163">
        <f ca="1">OFFSET('AFC Indiv. Fund Summary (Print)'!IndvPtyCshFndRcncltn, 3, 6, 1, 1)</f>
        <v>0</v>
      </c>
      <c r="C330" s="117">
        <f ca="1">IF(OFFSET('AFC Indiv. Fund Summary (Print)'!IndvPtyCshFndRcncltn, 3, 7, 1, 1)="",0,OFFSET('AFC Indiv. Fund Summary (Print)'!IndvPtyCshFndRcncltn, 3, 7, 1, 1))</f>
        <v>0</v>
      </c>
      <c r="D330" s="167">
        <f ca="1">IF(OFFSET('AFC Indiv. Fund Summary (Print)'!IndvPtyCshFndRcncltn, 3, 8, 1, 1)="",0,OFFSET('AFC Indiv. Fund Summary (Print)'!IndvPtyCshFndRcncltn, 3, 8, 1, 1))</f>
        <v>0</v>
      </c>
      <c r="E330" s="124"/>
      <c r="F330" s="124"/>
      <c r="G330" s="124"/>
      <c r="H330" s="124"/>
      <c r="I330" s="136"/>
      <c r="J330" s="124"/>
      <c r="K330" s="124"/>
      <c r="L330" s="112"/>
      <c r="M330" s="112"/>
      <c r="N330" s="112"/>
      <c r="O330" s="112"/>
      <c r="P330" s="125"/>
      <c r="Q330" s="112"/>
      <c r="R330" s="112"/>
      <c r="S330" s="112"/>
      <c r="T330" s="112"/>
      <c r="U330" s="125"/>
    </row>
    <row r="331" spans="1:22">
      <c r="A331" s="135"/>
      <c r="B331" s="124"/>
      <c r="C331" s="124"/>
      <c r="D331" s="124"/>
      <c r="E331" s="124"/>
      <c r="F331" s="124"/>
      <c r="G331" s="124"/>
      <c r="H331" s="124"/>
      <c r="I331" s="136"/>
      <c r="J331" s="124"/>
      <c r="K331" s="124"/>
      <c r="L331" s="112"/>
      <c r="M331" s="112"/>
      <c r="N331" s="112"/>
      <c r="O331" s="112"/>
      <c r="P331" s="125"/>
      <c r="Q331" s="112"/>
      <c r="R331" s="112"/>
      <c r="S331" s="112"/>
      <c r="T331" s="112"/>
      <c r="U331" s="125"/>
    </row>
    <row r="332" spans="1:22" ht="15" thickBot="1">
      <c r="A332" s="135" t="s">
        <v>874</v>
      </c>
      <c r="B332" s="124"/>
      <c r="C332" s="124"/>
      <c r="D332" s="124"/>
      <c r="E332" s="124"/>
      <c r="F332" s="124"/>
      <c r="G332" s="124"/>
      <c r="H332" s="124"/>
      <c r="I332" s="136"/>
      <c r="J332" s="124"/>
      <c r="K332" s="124"/>
      <c r="L332" s="112"/>
      <c r="M332" s="112"/>
      <c r="N332" s="112"/>
      <c r="O332" s="112"/>
      <c r="P332" s="125"/>
      <c r="Q332" s="112"/>
      <c r="R332" s="112"/>
      <c r="S332" s="112"/>
      <c r="T332" s="112"/>
      <c r="U332" s="125"/>
    </row>
    <row r="333" spans="1:22">
      <c r="A333" s="129" t="s">
        <v>831</v>
      </c>
      <c r="B333" s="130" t="s">
        <v>839</v>
      </c>
      <c r="C333" s="131" t="s">
        <v>840</v>
      </c>
      <c r="D333" s="124"/>
      <c r="E333" s="124"/>
      <c r="F333" s="124"/>
      <c r="G333" s="124"/>
      <c r="H333" s="124"/>
      <c r="I333" s="136"/>
      <c r="J333" s="124"/>
      <c r="K333" s="124"/>
      <c r="L333" s="112"/>
      <c r="M333" s="112"/>
      <c r="N333" s="112"/>
      <c r="O333" s="112"/>
      <c r="P333" s="125"/>
      <c r="Q333" s="112"/>
      <c r="R333" s="112"/>
      <c r="S333" s="112"/>
      <c r="T333" s="112"/>
      <c r="U333" s="125"/>
    </row>
    <row r="334" spans="1:22">
      <c r="A334" s="168">
        <f ca="1">OFFSET('AFC Indiv. Fund Summary (Print)'!PldTrstFndAcctRcncltn, 0, 0, 1, 1)</f>
        <v>6</v>
      </c>
      <c r="B334" s="116">
        <f ca="1">OFFSET('AFC Indiv. Fund Summary (Print)'!PldTrstFndAcctRcncltn, 0, 1, 1, 1)</f>
        <v>0</v>
      </c>
      <c r="C334" s="166">
        <f ca="1">OFFSET('AFC Indiv. Fund Summary (Print)'!PldTrstFndAcctRcncltn, 0, 2, 1, 1)</f>
        <v>0</v>
      </c>
      <c r="D334" s="124"/>
      <c r="E334" s="124"/>
      <c r="F334" s="124"/>
      <c r="G334" s="124"/>
      <c r="H334" s="124"/>
      <c r="I334" s="136"/>
      <c r="J334" s="124"/>
      <c r="K334" s="124"/>
      <c r="L334" s="112"/>
      <c r="M334" s="112"/>
      <c r="N334" s="112"/>
      <c r="O334" s="112"/>
      <c r="P334" s="125"/>
      <c r="Q334" s="112"/>
      <c r="R334" s="112"/>
      <c r="S334" s="112"/>
      <c r="T334" s="112"/>
      <c r="U334" s="125"/>
    </row>
    <row r="335" spans="1:22" ht="15" thickBot="1">
      <c r="A335" s="169">
        <f ca="1">OFFSET('AFC Indiv. Fund Summary (Print)'!PldTrstFndAcctRcncltn, 1, 0, 1, 1)</f>
        <v>7</v>
      </c>
      <c r="B335" s="117">
        <f ca="1">OFFSET('AFC Indiv. Fund Summary (Print)'!PldTrstFndAcctRcncltn, 1, 1, 1, 1)</f>
        <v>0</v>
      </c>
      <c r="C335" s="167">
        <f ca="1">OFFSET('AFC Indiv. Fund Summary (Print)'!PldTrstFndAcctRcncltn, 1, 2, 1, 1)</f>
        <v>0</v>
      </c>
      <c r="D335" s="124"/>
      <c r="E335" s="124"/>
      <c r="F335" s="124"/>
      <c r="G335" s="124"/>
      <c r="H335" s="124"/>
      <c r="I335" s="136"/>
      <c r="J335" s="124"/>
      <c r="K335" s="124"/>
      <c r="L335" s="112"/>
      <c r="M335" s="112"/>
      <c r="N335" s="112"/>
      <c r="O335" s="112"/>
      <c r="P335" s="125"/>
      <c r="Q335" s="112"/>
      <c r="R335" s="112"/>
      <c r="S335" s="112"/>
      <c r="T335" s="112"/>
      <c r="U335" s="125"/>
    </row>
    <row r="336" spans="1:22">
      <c r="A336" s="135"/>
      <c r="B336" s="124"/>
      <c r="C336" s="124"/>
      <c r="D336" s="124"/>
      <c r="E336" s="124"/>
      <c r="F336" s="124"/>
      <c r="G336" s="124"/>
      <c r="H336" s="124"/>
      <c r="I336" s="136"/>
      <c r="J336" s="124"/>
      <c r="K336" s="124"/>
      <c r="L336" s="112"/>
      <c r="M336" s="112"/>
      <c r="N336" s="112"/>
      <c r="O336" s="112"/>
      <c r="P336" s="125"/>
      <c r="Q336" s="112"/>
      <c r="R336" s="112"/>
      <c r="S336" s="112"/>
      <c r="T336" s="112"/>
      <c r="U336" s="125"/>
    </row>
    <row r="337" spans="1:21" ht="15" thickBot="1">
      <c r="A337" s="135" t="s">
        <v>875</v>
      </c>
      <c r="B337" s="124"/>
      <c r="C337" s="124"/>
      <c r="D337" s="124"/>
      <c r="E337" s="124"/>
      <c r="F337" s="124"/>
      <c r="G337" s="124"/>
      <c r="H337" s="124"/>
      <c r="I337" s="136"/>
      <c r="J337" s="124"/>
      <c r="K337" s="124"/>
      <c r="L337" s="112"/>
      <c r="M337" s="112"/>
      <c r="N337" s="112"/>
      <c r="O337" s="112"/>
      <c r="P337" s="125"/>
      <c r="Q337" s="112"/>
      <c r="R337" s="112"/>
      <c r="S337" s="112"/>
      <c r="T337" s="112"/>
      <c r="U337" s="125"/>
    </row>
    <row r="338" spans="1:21">
      <c r="A338" s="130" t="s">
        <v>831</v>
      </c>
      <c r="B338" s="130" t="s">
        <v>841</v>
      </c>
      <c r="C338" s="130" t="s">
        <v>839</v>
      </c>
      <c r="D338" s="131" t="s">
        <v>840</v>
      </c>
      <c r="E338" s="124"/>
      <c r="F338" s="124"/>
      <c r="G338" s="124"/>
      <c r="H338" s="124"/>
      <c r="I338" s="136"/>
      <c r="J338" s="124"/>
      <c r="K338" s="124"/>
      <c r="L338" s="112"/>
      <c r="M338" s="112"/>
      <c r="N338" s="112"/>
      <c r="O338" s="112"/>
      <c r="P338" s="125"/>
      <c r="Q338" s="112"/>
      <c r="R338" s="112"/>
      <c r="S338" s="112"/>
      <c r="T338" s="112"/>
      <c r="U338" s="125"/>
    </row>
    <row r="339" spans="1:21">
      <c r="A339" s="162">
        <f ca="1">OFFSET('AFC Indiv. Fund Summary (Print)'!IndvTrstFndRcncltn, 0, 0, 1, 1)</f>
        <v>8</v>
      </c>
      <c r="B339" s="162">
        <f ca="1">OFFSET('AFC Indiv. Fund Summary (Print)'!IndvTrstFndRcncltn, 0, 1, 1, 1)</f>
        <v>1</v>
      </c>
      <c r="C339" s="116">
        <f ca="1">IF(OFFSET('AFC Indiv. Fund Summary (Print)'!IndvTrstFndRcncltn, 0, 2, 1, 1)="",0,OFFSET('AFC Indiv. Fund Summary (Print)'!IndvTrstFndRcncltn, 0, 2, 1, 1))</f>
        <v>0</v>
      </c>
      <c r="D339" s="166">
        <f ca="1">IF(OFFSET('AFC Indiv. Fund Summary (Print)'!IndvTrstFndRcncltn, 0, 3, 1, 1)="",0,OFFSET('AFC Indiv. Fund Summary (Print)'!IndvTrstFndRcncltn, 0, 3, 1, 1))</f>
        <v>0</v>
      </c>
      <c r="E339" s="124"/>
      <c r="F339" s="124"/>
      <c r="G339" s="124"/>
      <c r="H339" s="124"/>
      <c r="I339" s="136"/>
      <c r="J339" s="124"/>
      <c r="K339" s="124"/>
      <c r="L339" s="112"/>
      <c r="M339" s="112"/>
      <c r="N339" s="112"/>
      <c r="O339" s="112"/>
      <c r="P339" s="125"/>
      <c r="Q339" s="112"/>
      <c r="R339" s="112"/>
      <c r="S339" s="112"/>
      <c r="T339" s="112"/>
      <c r="U339" s="125"/>
    </row>
    <row r="340" spans="1:21">
      <c r="A340" s="162">
        <f ca="1">OFFSET('AFC Indiv. Fund Summary (Print)'!IndvTrstFndRcncltn, 1, 0, 1, 1)</f>
        <v>9</v>
      </c>
      <c r="B340" s="162">
        <f ca="1">OFFSET('AFC Indiv. Fund Summary (Print)'!IndvTrstFndRcncltn, 1, 1, 1, 1)</f>
        <v>2</v>
      </c>
      <c r="C340" s="116">
        <f ca="1">IF(OFFSET('AFC Indiv. Fund Summary (Print)'!IndvTrstFndRcncltn, 1, 2, 1, 1)="",0,OFFSET('AFC Indiv. Fund Summary (Print)'!IndvTrstFndRcncltn, 1, 2, 1, 1))</f>
        <v>0</v>
      </c>
      <c r="D340" s="166">
        <f ca="1">IF(OFFSET('AFC Indiv. Fund Summary (Print)'!IndvTrstFndRcncltn, 1, 3, 1, 1)="",0,OFFSET('AFC Indiv. Fund Summary (Print)'!IndvTrstFndRcncltn, 1, 3, 1, 1))</f>
        <v>0</v>
      </c>
      <c r="E340" s="124"/>
      <c r="F340" s="124"/>
      <c r="G340" s="124"/>
      <c r="H340" s="124"/>
      <c r="I340" s="136"/>
      <c r="J340" s="124"/>
      <c r="K340" s="124"/>
      <c r="L340" s="112"/>
      <c r="M340" s="112"/>
      <c r="N340" s="112"/>
      <c r="O340" s="112"/>
      <c r="P340" s="125"/>
      <c r="Q340" s="112"/>
      <c r="R340" s="112"/>
      <c r="S340" s="112"/>
      <c r="T340" s="112"/>
      <c r="U340" s="125"/>
    </row>
    <row r="341" spans="1:21">
      <c r="A341" s="162">
        <f ca="1">OFFSET('AFC Indiv. Fund Summary (Print)'!IndvTrstFndRcncltn, 2, 0, 1, 1)</f>
        <v>8</v>
      </c>
      <c r="B341" s="162">
        <f ca="1">OFFSET('AFC Indiv. Fund Summary (Print)'!IndvTrstFndRcncltn, 2, 1, 1, 1)</f>
        <v>3</v>
      </c>
      <c r="C341" s="116">
        <f ca="1">IF(OFFSET('AFC Indiv. Fund Summary (Print)'!IndvTrstFndRcncltn, 2, 2, 1, 1)="",0,OFFSET('AFC Indiv. Fund Summary (Print)'!IndvTrstFndRcncltn, 2, 2, 1, 1))</f>
        <v>0</v>
      </c>
      <c r="D341" s="166">
        <f ca="1">IF(OFFSET('AFC Indiv. Fund Summary (Print)'!IndvTrstFndRcncltn, 2, 3, 1, 1)="",0,OFFSET('AFC Indiv. Fund Summary (Print)'!IndvTrstFndRcncltn, 2, 3, 1, 1))</f>
        <v>0</v>
      </c>
      <c r="E341" s="124"/>
      <c r="F341" s="124"/>
      <c r="G341" s="124"/>
      <c r="H341" s="124"/>
      <c r="I341" s="136"/>
      <c r="J341" s="124"/>
      <c r="K341" s="124"/>
      <c r="L341" s="112"/>
      <c r="M341" s="112"/>
      <c r="N341" s="112"/>
      <c r="O341" s="112"/>
      <c r="P341" s="125"/>
      <c r="Q341" s="112"/>
      <c r="R341" s="112"/>
      <c r="S341" s="112"/>
      <c r="T341" s="112"/>
      <c r="U341" s="125"/>
    </row>
    <row r="342" spans="1:21">
      <c r="A342" s="162">
        <f ca="1">OFFSET('AFC Indiv. Fund Summary (Print)'!IndvTrstFndRcncltn, 3, 0, 1, 1)</f>
        <v>9</v>
      </c>
      <c r="B342" s="162">
        <f ca="1">OFFSET('AFC Indiv. Fund Summary (Print)'!IndvTrstFndRcncltn, 3, 1, 1, 1)</f>
        <v>4</v>
      </c>
      <c r="C342" s="116">
        <f ca="1">IF(OFFSET('AFC Indiv. Fund Summary (Print)'!IndvTrstFndRcncltn, 3, 2, 1, 1)="",0,OFFSET('AFC Indiv. Fund Summary (Print)'!IndvTrstFndRcncltn, 3, 2, 1, 1))</f>
        <v>0</v>
      </c>
      <c r="D342" s="166">
        <f ca="1">IF(OFFSET('AFC Indiv. Fund Summary (Print)'!IndvTrstFndRcncltn, 3, 3, 1, 1)="",0,OFFSET('AFC Indiv. Fund Summary (Print)'!IndvTrstFndRcncltn, 3, 3, 1, 1))</f>
        <v>0</v>
      </c>
      <c r="E342" s="124"/>
      <c r="F342" s="124"/>
      <c r="G342" s="124"/>
      <c r="H342" s="124"/>
      <c r="I342" s="136"/>
      <c r="J342" s="124"/>
      <c r="K342" s="124"/>
      <c r="L342" s="112"/>
      <c r="M342" s="112"/>
      <c r="N342" s="112"/>
      <c r="O342" s="112"/>
      <c r="P342" s="125"/>
      <c r="Q342" s="112"/>
      <c r="R342" s="112"/>
      <c r="S342" s="112"/>
      <c r="T342" s="112"/>
      <c r="U342" s="125"/>
    </row>
    <row r="343" spans="1:21">
      <c r="A343" s="162">
        <f ca="1">OFFSET('AFC Indiv. Fund Summary (Print)'!IndvTrstFndRcncltn, 0, 5, 1, 1)</f>
        <v>9</v>
      </c>
      <c r="B343" s="162">
        <f ca="1">OFFSET('AFC Indiv. Fund Summary (Print)'!IndvTrstFndRcncltn, 0, 6, 1, 1)</f>
        <v>5</v>
      </c>
      <c r="C343" s="116">
        <f ca="1">IF(OFFSET('AFC Indiv. Fund Summary (Print)'!IndvTrstFndRcncltn, 0, 7, 1, 1)="",0,OFFSET('AFC Indiv. Fund Summary (Print)'!IndvTrstFndRcncltn, 0, 7, 1, 1))</f>
        <v>0</v>
      </c>
      <c r="D343" s="166">
        <f ca="1">IF(OFFSET('AFC Indiv. Fund Summary (Print)'!IndvTrstFndRcncltn, 0, 8, 1, 1)="",0,OFFSET('AFC Indiv. Fund Summary (Print)'!IndvTrstFndRcncltn, 0, 8, 1, 1))</f>
        <v>0</v>
      </c>
      <c r="E343" s="124"/>
      <c r="F343" s="124"/>
      <c r="G343" s="124"/>
      <c r="H343" s="124"/>
      <c r="I343" s="136"/>
      <c r="J343" s="124"/>
      <c r="K343" s="124"/>
      <c r="L343" s="112"/>
      <c r="M343" s="112"/>
      <c r="N343" s="112"/>
      <c r="O343" s="112"/>
      <c r="P343" s="125"/>
      <c r="Q343" s="112"/>
      <c r="R343" s="112"/>
      <c r="S343" s="112"/>
      <c r="T343" s="112"/>
      <c r="U343" s="125"/>
    </row>
    <row r="344" spans="1:21">
      <c r="A344" s="162">
        <f ca="1">OFFSET('AFC Indiv. Fund Summary (Print)'!IndvTrstFndRcncltn, 1, 5, 1, 1)</f>
        <v>8</v>
      </c>
      <c r="B344" s="162">
        <f ca="1">OFFSET('AFC Indiv. Fund Summary (Print)'!IndvTrstFndRcncltn, 1, 6, 1, 1)</f>
        <v>6</v>
      </c>
      <c r="C344" s="116">
        <f ca="1">IF(OFFSET('AFC Indiv. Fund Summary (Print)'!IndvTrstFndRcncltn, 1, 7, 1, 1)="",0,OFFSET('AFC Indiv. Fund Summary (Print)'!IndvTrstFndRcncltn, 1, 7, 1, 1))</f>
        <v>0</v>
      </c>
      <c r="D344" s="166">
        <f ca="1">IF(OFFSET('AFC Indiv. Fund Summary (Print)'!IndvTrstFndRcncltn, 1, 8, 1, 1)="",0,OFFSET('AFC Indiv. Fund Summary (Print)'!IndvTrstFndRcncltn, 1, 8, 1, 1))</f>
        <v>0</v>
      </c>
      <c r="E344" s="124"/>
      <c r="F344" s="124"/>
      <c r="G344" s="124"/>
      <c r="H344" s="124"/>
      <c r="I344" s="136"/>
      <c r="J344" s="124"/>
      <c r="K344" s="124"/>
      <c r="L344" s="112"/>
      <c r="M344" s="112"/>
      <c r="N344" s="112"/>
      <c r="O344" s="112"/>
      <c r="P344" s="125"/>
      <c r="Q344" s="112"/>
      <c r="R344" s="112"/>
      <c r="S344" s="112"/>
      <c r="T344" s="112"/>
      <c r="U344" s="125"/>
    </row>
    <row r="345" spans="1:21">
      <c r="A345" s="162">
        <f ca="1">OFFSET('AFC Indiv. Fund Summary (Print)'!IndvTrstFndRcncltn, 2, 5, 1, 1)</f>
        <v>9</v>
      </c>
      <c r="B345" s="162">
        <f ca="1">OFFSET('AFC Indiv. Fund Summary (Print)'!IndvTrstFndRcncltn, 2, 6, 1, 1)</f>
        <v>7</v>
      </c>
      <c r="C345" s="116">
        <f ca="1">IF(OFFSET('AFC Indiv. Fund Summary (Print)'!IndvTrstFndRcncltn, 2, 7, 1, 1)="",0,OFFSET('AFC Indiv. Fund Summary (Print)'!IndvTrstFndRcncltn, 2, 7, 1, 1))</f>
        <v>0</v>
      </c>
      <c r="D345" s="166">
        <f ca="1">IF(OFFSET('AFC Indiv. Fund Summary (Print)'!IndvTrstFndRcncltn, 2, 8, 1, 1)="",0,OFFSET('AFC Indiv. Fund Summary (Print)'!IndvTrstFndRcncltn, 2, 8, 1, 1))</f>
        <v>0</v>
      </c>
      <c r="E345" s="124"/>
      <c r="F345" s="124"/>
      <c r="G345" s="124"/>
      <c r="H345" s="124"/>
      <c r="I345" s="136"/>
      <c r="J345" s="124"/>
      <c r="K345" s="124"/>
      <c r="L345" s="112"/>
      <c r="M345" s="112"/>
      <c r="N345" s="112"/>
      <c r="O345" s="112"/>
      <c r="P345" s="125"/>
      <c r="Q345" s="112"/>
      <c r="R345" s="112"/>
      <c r="S345" s="112"/>
      <c r="T345" s="112"/>
      <c r="U345" s="125"/>
    </row>
    <row r="346" spans="1:21" ht="15" thickBot="1">
      <c r="A346" s="163">
        <f ca="1">OFFSET('AFC Indiv. Fund Summary (Print)'!IndvTrstFndRcncltn, 3, 5, 1, 1)</f>
        <v>8</v>
      </c>
      <c r="B346" s="163">
        <f ca="1">OFFSET('AFC Indiv. Fund Summary (Print)'!IndvTrstFndRcncltn, 3, 6, 1, 1)</f>
        <v>8</v>
      </c>
      <c r="C346" s="117">
        <f ca="1">IF(OFFSET('AFC Indiv. Fund Summary (Print)'!IndvTrstFndRcncltn, 3, 7, 1, 1)="",0,OFFSET('AFC Indiv. Fund Summary (Print)'!IndvTrstFndRcncltn, 3, 7, 1, 1))</f>
        <v>0</v>
      </c>
      <c r="D346" s="167">
        <f ca="1">IF(OFFSET('AFC Indiv. Fund Summary (Print)'!IndvTrstFndRcncltn, 3, 8, 1, 1)="",0,OFFSET('AFC Indiv. Fund Summary (Print)'!IndvTrstFndRcncltn, 3, 8, 1, 1))</f>
        <v>0</v>
      </c>
      <c r="E346" s="124"/>
      <c r="F346" s="124"/>
      <c r="G346" s="124"/>
      <c r="H346" s="124"/>
      <c r="I346" s="136"/>
      <c r="J346" s="124"/>
      <c r="K346" s="124"/>
      <c r="L346" s="112"/>
      <c r="M346" s="112"/>
      <c r="N346" s="112"/>
      <c r="O346" s="112"/>
      <c r="P346" s="125"/>
      <c r="Q346" s="112"/>
      <c r="R346" s="112"/>
      <c r="S346" s="112"/>
      <c r="T346" s="112"/>
      <c r="U346" s="125"/>
    </row>
    <row r="347" spans="1:21">
      <c r="A347" s="135"/>
      <c r="B347" s="124"/>
      <c r="C347" s="124"/>
      <c r="D347" s="124"/>
      <c r="E347" s="124"/>
      <c r="F347" s="124"/>
      <c r="G347" s="124"/>
      <c r="H347" s="124"/>
      <c r="I347" s="136"/>
      <c r="J347" s="124"/>
      <c r="K347" s="124"/>
      <c r="L347" s="112"/>
      <c r="M347" s="112"/>
      <c r="N347" s="112"/>
      <c r="O347" s="112"/>
      <c r="P347" s="125"/>
      <c r="Q347" s="112"/>
      <c r="R347" s="112"/>
      <c r="S347" s="112"/>
      <c r="T347" s="112"/>
      <c r="U347" s="125"/>
    </row>
    <row r="348" spans="1:21" ht="15" thickBot="1">
      <c r="A348" s="135" t="s">
        <v>876</v>
      </c>
      <c r="B348" s="124"/>
      <c r="C348" s="124"/>
      <c r="D348" s="124"/>
      <c r="E348" s="124"/>
      <c r="F348" s="124"/>
      <c r="G348" s="124"/>
      <c r="H348" s="124"/>
      <c r="I348" s="136"/>
      <c r="J348" s="124"/>
      <c r="K348" s="124"/>
      <c r="L348" s="112"/>
      <c r="M348" s="112"/>
      <c r="N348" s="112"/>
      <c r="O348" s="112"/>
      <c r="P348" s="125"/>
      <c r="Q348" s="112"/>
      <c r="R348" s="112"/>
      <c r="S348" s="112"/>
      <c r="T348" s="112"/>
      <c r="U348" s="125"/>
    </row>
    <row r="349" spans="1:21">
      <c r="A349" s="129" t="s">
        <v>831</v>
      </c>
      <c r="B349" s="130" t="s">
        <v>183</v>
      </c>
      <c r="C349" s="349" t="s">
        <v>1067</v>
      </c>
      <c r="D349" s="350" t="s">
        <v>1065</v>
      </c>
      <c r="E349" s="350" t="s">
        <v>1066</v>
      </c>
      <c r="F349" s="351" t="s">
        <v>726</v>
      </c>
      <c r="G349" s="124"/>
      <c r="H349" s="124"/>
      <c r="I349" s="136"/>
      <c r="J349" s="124"/>
      <c r="K349" s="124"/>
      <c r="L349" s="112"/>
      <c r="M349" s="112"/>
      <c r="N349" s="112"/>
      <c r="O349" s="112"/>
      <c r="P349" s="125"/>
      <c r="Q349" s="112"/>
      <c r="R349" s="112"/>
      <c r="S349" s="112"/>
      <c r="T349" s="112"/>
      <c r="U349" s="125"/>
    </row>
    <row r="350" spans="1:21">
      <c r="A350" s="168">
        <v>10</v>
      </c>
      <c r="B350" s="352">
        <f ca="1">IF(OFFSET('AFC Indiv. Fund Summary (Print)'!PrrtdIntPldTrstFndAcct, 0, 2, 1, 1) = DATE(1900,1,0), DATE(1900,1,1), OFFSET('AFC Indiv. Fund Summary (Print)'!PrrtdIntPldTrstFndAcct, 0, 2, 1, 1))</f>
        <v>1</v>
      </c>
      <c r="C350" s="116">
        <f ca="1">IF(OFFSET('AFC Indiv. Fund Summary (Print)'!PrrtdIntPldTrstFndAcct, 0, 3, 1, 1) ="",0, OFFSET('AFC Indiv. Fund Summary (Print)'!PrrtdIntPldTrstFndAcct, 0, 3, 1, 1))</f>
        <v>0</v>
      </c>
      <c r="D350" s="352">
        <f ca="1">IF(OFFSET('AFC Indiv. Fund Summary (Print)'!PrrtdIntPldTrstFndAcct, 0, 4, 1, 1) = DATE(1900,1,0), DATE(1900,1,1), OFFSET('AFC Indiv. Fund Summary (Print)'!PrrtdIntPldTrstFndAcct, 0, 4, 1, 1))</f>
        <v>1</v>
      </c>
      <c r="E350" s="116">
        <f ca="1">IF(OFFSET('AFC Indiv. Fund Summary (Print)'!PrrtdIntPldTrstFndAcct, 0, 5, 1, 1) ="",0, OFFSET('AFC Indiv. Fund Summary (Print)'!PrrtdIntPldTrstFndAcct, 0, 5, 1, 1))</f>
        <v>0</v>
      </c>
      <c r="F350" s="121">
        <f ca="1">OFFSET('AFC Indiv. Fund Summary (Print)'!PrrtdIntPldTrstFndAcct, 0, 1, 1, 1)</f>
        <v>0</v>
      </c>
      <c r="G350" s="124"/>
      <c r="H350" s="124"/>
      <c r="I350" s="136"/>
      <c r="J350" s="124"/>
      <c r="K350" s="124"/>
      <c r="L350" s="112"/>
      <c r="M350" s="112"/>
      <c r="N350" s="112"/>
      <c r="O350" s="112"/>
      <c r="P350" s="125"/>
      <c r="Q350" s="112"/>
      <c r="R350" s="112"/>
      <c r="S350" s="112"/>
      <c r="T350" s="112"/>
      <c r="U350" s="125"/>
    </row>
    <row r="351" spans="1:21">
      <c r="A351" s="168">
        <v>10</v>
      </c>
      <c r="B351" s="352">
        <f ca="1">IF(OFFSET('AFC Indiv. Fund Summary (Print)'!PrrtdIntPldTrstFndAcct, 1, 2, 1, 1) = DATE(1900,1,0), DATE(1900,1,1), OFFSET('AFC Indiv. Fund Summary (Print)'!PrrtdIntPldTrstFndAcct, 1, 2, 1, 1))</f>
        <v>1</v>
      </c>
      <c r="C351" s="116">
        <f ca="1">IF(OFFSET('AFC Indiv. Fund Summary (Print)'!PrrtdIntPldTrstFndAcct, 1, 3, 1, 1) ="",0, OFFSET('AFC Indiv. Fund Summary (Print)'!PrrtdIntPldTrstFndAcct, 1, 3, 1, 1))</f>
        <v>0</v>
      </c>
      <c r="D351" s="352">
        <f ca="1">IF(OFFSET('AFC Indiv. Fund Summary (Print)'!PrrtdIntPldTrstFndAcct, 1, 4, 1, 1) = DATE(1900,1,0), DATE(1900,1,1), OFFSET('AFC Indiv. Fund Summary (Print)'!PrrtdIntPldTrstFndAcct, 1, 4, 1, 1))</f>
        <v>1</v>
      </c>
      <c r="E351" s="116">
        <f ca="1">IF(OFFSET('AFC Indiv. Fund Summary (Print)'!PrrtdIntPldTrstFndAcct, 1, 5, 1, 1) ="",0, OFFSET('AFC Indiv. Fund Summary (Print)'!PrrtdIntPldTrstFndAcct, 1, 5, 1, 1))</f>
        <v>0</v>
      </c>
      <c r="F351" s="121">
        <f ca="1">OFFSET('AFC Indiv. Fund Summary (Print)'!PrrtdIntPldTrstFndAcct, 1, 1, 1, 1)</f>
        <v>0</v>
      </c>
      <c r="G351" s="124"/>
      <c r="H351" s="124"/>
      <c r="I351" s="136"/>
      <c r="J351" s="124"/>
      <c r="K351" s="124"/>
      <c r="L351" s="112"/>
      <c r="M351" s="112"/>
      <c r="N351" s="112"/>
      <c r="O351" s="112"/>
      <c r="P351" s="125"/>
      <c r="Q351" s="112"/>
      <c r="R351" s="112"/>
      <c r="S351" s="112"/>
      <c r="T351" s="112"/>
      <c r="U351" s="125"/>
    </row>
    <row r="352" spans="1:21">
      <c r="A352" s="168">
        <v>10</v>
      </c>
      <c r="B352" s="352">
        <f ca="1">IF(OFFSET('AFC Indiv. Fund Summary (Print)'!PrrtdIntPldTrstFndAcct, 2, 2, 1, 1) = DATE(1900,1,0), DATE(1900,1,1), OFFSET('AFC Indiv. Fund Summary (Print)'!PrrtdIntPldTrstFndAcct, 2, 2, 1, 1))</f>
        <v>1</v>
      </c>
      <c r="C352" s="116">
        <f ca="1">IF(OFFSET('AFC Indiv. Fund Summary (Print)'!PrrtdIntPldTrstFndAcct, 2, 3, 1, 1) ="",0, OFFSET('AFC Indiv. Fund Summary (Print)'!PrrtdIntPldTrstFndAcct, 2, 3, 1, 1))</f>
        <v>0</v>
      </c>
      <c r="D352" s="352">
        <f ca="1">IF(OFFSET('AFC Indiv. Fund Summary (Print)'!PrrtdIntPldTrstFndAcct, 2, 4, 1, 1) = DATE(1900,1,0), DATE(1900,1,1), OFFSET('AFC Indiv. Fund Summary (Print)'!PrrtdIntPldTrstFndAcct, 2, 4, 1, 1))</f>
        <v>1</v>
      </c>
      <c r="E352" s="116">
        <f ca="1">IF(OFFSET('AFC Indiv. Fund Summary (Print)'!PrrtdIntPldTrstFndAcct, 2, 5, 1, 1) ="",0, OFFSET('AFC Indiv. Fund Summary (Print)'!PrrtdIntPldTrstFndAcct, 2, 5, 1, 1))</f>
        <v>0</v>
      </c>
      <c r="F352" s="121">
        <f ca="1">OFFSET('AFC Indiv. Fund Summary (Print)'!PrrtdIntPldTrstFndAcct, 2, 1, 1, 1)</f>
        <v>0</v>
      </c>
      <c r="G352" s="124"/>
      <c r="H352" s="124"/>
      <c r="I352" s="136"/>
      <c r="J352" s="124"/>
      <c r="K352" s="124"/>
      <c r="L352" s="112"/>
      <c r="M352" s="112"/>
      <c r="N352" s="112"/>
      <c r="O352" s="112"/>
      <c r="P352" s="125"/>
      <c r="Q352" s="112"/>
      <c r="R352" s="112"/>
      <c r="S352" s="112"/>
      <c r="T352" s="112"/>
      <c r="U352" s="125"/>
    </row>
    <row r="353" spans="1:21">
      <c r="A353" s="168">
        <v>10</v>
      </c>
      <c r="B353" s="352">
        <f ca="1">IF(OFFSET('AFC Indiv. Fund Summary (Print)'!PrrtdIntPldTrstFndAcct, 3, 2, 1, 1) = DATE(1900,1,0), DATE(1900,1,1), OFFSET('AFC Indiv. Fund Summary (Print)'!PrrtdIntPldTrstFndAcct, 3, 2, 1, 1))</f>
        <v>1</v>
      </c>
      <c r="C353" s="116">
        <f ca="1">IF(OFFSET('AFC Indiv. Fund Summary (Print)'!PrrtdIntPldTrstFndAcct, 3, 3, 1, 1) ="",0, OFFSET('AFC Indiv. Fund Summary (Print)'!PrrtdIntPldTrstFndAcct, 3, 3, 1, 1))</f>
        <v>0</v>
      </c>
      <c r="D353" s="352">
        <f ca="1">IF(OFFSET('AFC Indiv. Fund Summary (Print)'!PrrtdIntPldTrstFndAcct, 3, 4, 1, 1) = DATE(1900,1,0), DATE(1900,1,1), OFFSET('AFC Indiv. Fund Summary (Print)'!PrrtdIntPldTrstFndAcct, 3, 4, 1, 1))</f>
        <v>1</v>
      </c>
      <c r="E353" s="116">
        <f ca="1">IF(OFFSET('AFC Indiv. Fund Summary (Print)'!PrrtdIntPldTrstFndAcct, 3, 5, 1, 1) ="",0, OFFSET('AFC Indiv. Fund Summary (Print)'!PrrtdIntPldTrstFndAcct, 3, 5, 1, 1))</f>
        <v>0</v>
      </c>
      <c r="F353" s="121">
        <f ca="1">OFFSET('AFC Indiv. Fund Summary (Print)'!PrrtdIntPldTrstFndAcct, 3, 1, 1, 1)</f>
        <v>0</v>
      </c>
      <c r="G353" s="124"/>
      <c r="H353" s="124"/>
      <c r="I353" s="136"/>
      <c r="J353" s="124"/>
      <c r="K353" s="124"/>
      <c r="L353" s="112"/>
      <c r="M353" s="112"/>
      <c r="N353" s="112"/>
      <c r="O353" s="112"/>
      <c r="P353" s="125"/>
      <c r="Q353" s="112"/>
      <c r="R353" s="112"/>
      <c r="S353" s="112"/>
      <c r="T353" s="112"/>
      <c r="U353" s="125"/>
    </row>
    <row r="354" spans="1:21">
      <c r="A354" s="168">
        <v>10</v>
      </c>
      <c r="B354" s="352">
        <f ca="1">IF(OFFSET('AFC Indiv. Fund Summary (Print)'!PrrtdIntPldTrstFndAcct, 4, 2, 1, 1) = DATE(1900,1,0), DATE(1900,1,1), OFFSET('AFC Indiv. Fund Summary (Print)'!PrrtdIntPldTrstFndAcct, 4, 2, 1, 1))</f>
        <v>1</v>
      </c>
      <c r="C354" s="116">
        <f ca="1">IF(OFFSET('AFC Indiv. Fund Summary (Print)'!PrrtdIntPldTrstFndAcct, 4, 3, 1, 1) ="",0, OFFSET('AFC Indiv. Fund Summary (Print)'!PrrtdIntPldTrstFndAcct, 4, 3, 1, 1))</f>
        <v>0</v>
      </c>
      <c r="D354" s="352">
        <f ca="1">IF(OFFSET('AFC Indiv. Fund Summary (Print)'!PrrtdIntPldTrstFndAcct, 4, 4, 1, 1) = DATE(1900,1,0), DATE(1900,1,1), OFFSET('AFC Indiv. Fund Summary (Print)'!PrrtdIntPldTrstFndAcct, 4, 4, 1, 1))</f>
        <v>1</v>
      </c>
      <c r="E354" s="116">
        <f ca="1">IF(OFFSET('AFC Indiv. Fund Summary (Print)'!PrrtdIntPldTrstFndAcct, 4, 5, 1, 1) ="",0, OFFSET('AFC Indiv. Fund Summary (Print)'!PrrtdIntPldTrstFndAcct, 4, 5, 1, 1))</f>
        <v>0</v>
      </c>
      <c r="F354" s="121">
        <f ca="1">OFFSET('AFC Indiv. Fund Summary (Print)'!PrrtdIntPldTrstFndAcct, 4, 1, 1, 1)</f>
        <v>0</v>
      </c>
      <c r="G354" s="124"/>
      <c r="H354" s="124"/>
      <c r="I354" s="136"/>
      <c r="J354" s="124"/>
      <c r="K354" s="124"/>
      <c r="L354" s="112"/>
      <c r="M354" s="112"/>
      <c r="N354" s="112"/>
      <c r="O354" s="112"/>
      <c r="P354" s="125"/>
      <c r="Q354" s="112"/>
      <c r="R354" s="112"/>
      <c r="S354" s="112"/>
      <c r="T354" s="112"/>
      <c r="U354" s="125"/>
    </row>
    <row r="355" spans="1:21">
      <c r="A355" s="168">
        <v>10</v>
      </c>
      <c r="B355" s="352">
        <f ca="1">IF(OFFSET('AFC Indiv. Fund Summary (Print)'!PrrtdIntPldTrstFndAcct, 5, 2, 1, 1) = DATE(1900,1,0), DATE(1900,1,1), OFFSET('AFC Indiv. Fund Summary (Print)'!PrrtdIntPldTrstFndAcct, 5, 2, 1, 1))</f>
        <v>1</v>
      </c>
      <c r="C355" s="116">
        <f ca="1">IF(OFFSET('AFC Indiv. Fund Summary (Print)'!PrrtdIntPldTrstFndAcct, 5, 3, 1, 1) ="",0, OFFSET('AFC Indiv. Fund Summary (Print)'!PrrtdIntPldTrstFndAcct, 5, 3, 1, 1))</f>
        <v>0</v>
      </c>
      <c r="D355" s="352">
        <f ca="1">IF(OFFSET('AFC Indiv. Fund Summary (Print)'!PrrtdIntPldTrstFndAcct, 5, 4, 1, 1) = DATE(1900,1,0), DATE(1900,1,1), OFFSET('AFC Indiv. Fund Summary (Print)'!PrrtdIntPldTrstFndAcct, 5, 4, 1, 1))</f>
        <v>1</v>
      </c>
      <c r="E355" s="116">
        <f ca="1">IF(OFFSET('AFC Indiv. Fund Summary (Print)'!PrrtdIntPldTrstFndAcct, 5, 5, 1, 1) ="",0, OFFSET('AFC Indiv. Fund Summary (Print)'!PrrtdIntPldTrstFndAcct, 5, 5, 1, 1))</f>
        <v>0</v>
      </c>
      <c r="F355" s="121">
        <f ca="1">OFFSET('AFC Indiv. Fund Summary (Print)'!PrrtdIntPldTrstFndAcct, 5, 1, 1, 1)</f>
        <v>0</v>
      </c>
      <c r="G355" s="124"/>
      <c r="H355" s="124"/>
      <c r="I355" s="136"/>
      <c r="J355" s="124"/>
      <c r="K355" s="124"/>
      <c r="L355" s="112"/>
      <c r="M355" s="112"/>
      <c r="N355" s="112"/>
      <c r="O355" s="112"/>
      <c r="P355" s="125"/>
      <c r="Q355" s="112"/>
      <c r="R355" s="112"/>
      <c r="S355" s="112"/>
      <c r="T355" s="112"/>
      <c r="U355" s="125"/>
    </row>
    <row r="356" spans="1:21">
      <c r="A356" s="168">
        <v>10</v>
      </c>
      <c r="B356" s="352">
        <f ca="1">IF(OFFSET('AFC Indiv. Fund Summary (Print)'!PrrtdIntPldTrstFndAcct, 6, 2, 1, 1) = DATE(1900,1,0), DATE(1900,1,1), OFFSET('AFC Indiv. Fund Summary (Print)'!PrrtdIntPldTrstFndAcct, 6, 2, 1, 1))</f>
        <v>1</v>
      </c>
      <c r="C356" s="116">
        <f ca="1">IF(OFFSET('AFC Indiv. Fund Summary (Print)'!PrrtdIntPldTrstFndAcct, 6, 3, 1, 1) ="",0, OFFSET('AFC Indiv. Fund Summary (Print)'!PrrtdIntPldTrstFndAcct, 6, 3, 1, 1))</f>
        <v>0</v>
      </c>
      <c r="D356" s="352">
        <f ca="1">IF(OFFSET('AFC Indiv. Fund Summary (Print)'!PrrtdIntPldTrstFndAcct, 6, 4, 1, 1) = DATE(1900,1,0), DATE(1900,1,1), OFFSET('AFC Indiv. Fund Summary (Print)'!PrrtdIntPldTrstFndAcct, 6, 4, 1, 1))</f>
        <v>1</v>
      </c>
      <c r="E356" s="116">
        <f ca="1">IF(OFFSET('AFC Indiv. Fund Summary (Print)'!PrrtdIntPldTrstFndAcct, 6, 5, 1, 1) ="",0, OFFSET('AFC Indiv. Fund Summary (Print)'!PrrtdIntPldTrstFndAcct, 6, 5, 1, 1))</f>
        <v>0</v>
      </c>
      <c r="F356" s="121">
        <f ca="1">OFFSET('AFC Indiv. Fund Summary (Print)'!PrrtdIntPldTrstFndAcct, 6, 1, 1, 1)</f>
        <v>0</v>
      </c>
      <c r="G356" s="124"/>
      <c r="H356" s="124"/>
      <c r="I356" s="136"/>
      <c r="J356" s="124"/>
      <c r="K356" s="124"/>
      <c r="L356" s="112"/>
      <c r="M356" s="112"/>
      <c r="N356" s="112"/>
      <c r="O356" s="112"/>
      <c r="P356" s="125"/>
      <c r="Q356" s="112"/>
      <c r="R356" s="112"/>
      <c r="S356" s="112"/>
      <c r="T356" s="112"/>
      <c r="U356" s="125"/>
    </row>
    <row r="357" spans="1:21" ht="15" thickBot="1">
      <c r="A357" s="169">
        <v>10</v>
      </c>
      <c r="B357" s="353">
        <f ca="1">IF(OFFSET('AFC Indiv. Fund Summary (Print)'!PrrtdIntPldTrstFndAcct, 7, 2, 1, 1) = DATE(1900,1,0), DATE(1900,1,1), OFFSET('AFC Indiv. Fund Summary (Print)'!PrrtdIntPldTrstFndAcct, 7, 2, 1, 1))</f>
        <v>1</v>
      </c>
      <c r="C357" s="117">
        <f ca="1">IF(OFFSET('AFC Indiv. Fund Summary (Print)'!PrrtdIntPldTrstFndAcct, 7, 3, 1, 1) ="",0, OFFSET('AFC Indiv. Fund Summary (Print)'!PrrtdIntPldTrstFndAcct, 7, 3, 1, 1))</f>
        <v>0</v>
      </c>
      <c r="D357" s="353">
        <f ca="1">IF(OFFSET('AFC Indiv. Fund Summary (Print)'!PrrtdIntPldTrstFndAcct, 7, 4, 1, 1) = DATE(1900,1,0), DATE(1900,1,1), OFFSET('AFC Indiv. Fund Summary (Print)'!PrrtdIntPldTrstFndAcct, 7, 4, 1, 1))</f>
        <v>1</v>
      </c>
      <c r="E357" s="117">
        <f ca="1">IF(OFFSET('AFC Indiv. Fund Summary (Print)'!PrrtdIntPldTrstFndAcct, 7, 5, 1, 1) ="",0, OFFSET('AFC Indiv. Fund Summary (Print)'!PrrtdIntPldTrstFndAcct, 7, 5, 1, 1))</f>
        <v>0</v>
      </c>
      <c r="F357" s="122">
        <f ca="1">OFFSET('AFC Indiv. Fund Summary (Print)'!PrrtdIntPldTrstFndAcct, 7, 1, 1, 1)</f>
        <v>0</v>
      </c>
      <c r="G357" s="124"/>
      <c r="H357" s="124"/>
      <c r="I357" s="136"/>
      <c r="J357" s="124"/>
      <c r="K357" s="124"/>
      <c r="L357" s="112"/>
      <c r="M357" s="112"/>
      <c r="N357" s="112"/>
      <c r="O357" s="112"/>
      <c r="P357" s="125"/>
      <c r="Q357" s="112"/>
      <c r="R357" s="112"/>
      <c r="S357" s="112"/>
      <c r="T357" s="112"/>
      <c r="U357" s="125"/>
    </row>
    <row r="358" spans="1:21">
      <c r="A358" s="135"/>
      <c r="B358" s="124"/>
      <c r="C358" s="124"/>
      <c r="D358" s="124"/>
      <c r="E358" s="124"/>
      <c r="F358" s="124"/>
      <c r="G358" s="124"/>
      <c r="H358" s="124"/>
      <c r="I358" s="136"/>
      <c r="J358" s="124"/>
      <c r="K358" s="124"/>
      <c r="L358" s="112"/>
      <c r="M358" s="112"/>
      <c r="N358" s="112"/>
      <c r="O358" s="112"/>
      <c r="P358" s="125"/>
      <c r="Q358" s="112"/>
      <c r="R358" s="112"/>
      <c r="S358" s="112"/>
      <c r="T358" s="112"/>
      <c r="U358" s="125"/>
    </row>
    <row r="359" spans="1:21" ht="15" thickBot="1">
      <c r="A359" s="135" t="s">
        <v>877</v>
      </c>
      <c r="B359" s="124"/>
      <c r="C359" s="124"/>
      <c r="D359" s="124"/>
      <c r="E359" s="124"/>
      <c r="F359" s="124"/>
      <c r="G359" s="124"/>
      <c r="H359" s="124"/>
      <c r="I359" s="136"/>
      <c r="J359" s="124"/>
      <c r="K359" s="124"/>
      <c r="L359" s="112"/>
      <c r="M359" s="112"/>
      <c r="N359" s="112"/>
      <c r="O359" s="112"/>
      <c r="P359" s="125"/>
      <c r="Q359" s="112"/>
      <c r="R359" s="112"/>
      <c r="S359" s="112"/>
      <c r="T359" s="112"/>
      <c r="U359" s="125"/>
    </row>
    <row r="360" spans="1:21">
      <c r="A360" s="129" t="s">
        <v>831</v>
      </c>
      <c r="B360" s="130" t="s">
        <v>183</v>
      </c>
      <c r="C360" s="349" t="s">
        <v>1067</v>
      </c>
      <c r="D360" s="350" t="s">
        <v>1065</v>
      </c>
      <c r="E360" s="350" t="s">
        <v>1066</v>
      </c>
      <c r="F360" s="351" t="s">
        <v>726</v>
      </c>
      <c r="G360" s="124"/>
      <c r="H360" s="124"/>
      <c r="I360" s="136"/>
      <c r="J360" s="124"/>
      <c r="K360" s="124"/>
      <c r="L360" s="112"/>
      <c r="M360" s="112"/>
      <c r="N360" s="112"/>
      <c r="O360" s="112"/>
      <c r="P360" s="125"/>
      <c r="Q360" s="112"/>
      <c r="R360" s="112"/>
      <c r="S360" s="112"/>
      <c r="T360" s="112"/>
      <c r="U360" s="125"/>
    </row>
    <row r="361" spans="1:21">
      <c r="A361" s="168">
        <v>11</v>
      </c>
      <c r="B361" s="352">
        <f ca="1">IF(OFFSET('AFC Indiv. Fund Summary (Print)'!BnkChgsPldTrstFndAcct, 0, 2, 1, 1) = DATE(1900,1,0), DATE(1900,1,1), OFFSET('AFC Indiv. Fund Summary (Print)'!BnkChgsPldTrstFndAcct, 0, 2, 1, 1))</f>
        <v>1</v>
      </c>
      <c r="C361" s="116">
        <f ca="1">IF(OFFSET('AFC Indiv. Fund Summary (Print)'!BnkChgsPldTrstFndAcct, 0, 3, 1, 1) ="",0, OFFSET('AFC Indiv. Fund Summary (Print)'!BnkChgsPldTrstFndAcct, 0, 3, 1, 1))</f>
        <v>0</v>
      </c>
      <c r="D361" s="352">
        <f ca="1">IF(OFFSET('AFC Indiv. Fund Summary (Print)'!BnkChgsPldTrstFndAcct, 0, 4, 1, 1) = DATE(1900,1,0), DATE(1900,1,1), OFFSET('AFC Indiv. Fund Summary (Print)'!BnkChgsPldTrstFndAcct, 0, 4, 1, 1))</f>
        <v>1</v>
      </c>
      <c r="E361" s="116">
        <f ca="1">IF(OFFSET('AFC Indiv. Fund Summary (Print)'!BnkChgsPldTrstFndAcct, 0, 5, 1, 1) ="",0, OFFSET('AFC Indiv. Fund Summary (Print)'!BnkChgsPldTrstFndAcct, 0, 5, 1, 1))</f>
        <v>0</v>
      </c>
      <c r="F361" s="121">
        <f ca="1">OFFSET('AFC Indiv. Fund Summary (Print)'!BnkChgsPldTrstFndAcct, 0, 1, 1, 1)</f>
        <v>0</v>
      </c>
      <c r="G361" s="124"/>
      <c r="H361" s="124"/>
      <c r="I361" s="136"/>
      <c r="J361" s="124"/>
      <c r="K361" s="124"/>
      <c r="L361" s="112"/>
      <c r="M361" s="112"/>
      <c r="N361" s="112"/>
      <c r="O361" s="112"/>
      <c r="P361" s="125"/>
      <c r="Q361" s="112"/>
      <c r="R361" s="112"/>
      <c r="S361" s="112"/>
      <c r="T361" s="112"/>
      <c r="U361" s="125"/>
    </row>
    <row r="362" spans="1:21">
      <c r="A362" s="168">
        <v>11</v>
      </c>
      <c r="B362" s="352">
        <f ca="1">IF(OFFSET('AFC Indiv. Fund Summary (Print)'!BnkChgsPldTrstFndAcct, 1, 2, 1, 1) = DATE(1900,1,0), DATE(1900,1,1), OFFSET('AFC Indiv. Fund Summary (Print)'!BnkChgsPldTrstFndAcct, 1, 2, 1, 1))</f>
        <v>1</v>
      </c>
      <c r="C362" s="116">
        <f ca="1">IF(OFFSET('AFC Indiv. Fund Summary (Print)'!BnkChgsPldTrstFndAcct, 1, 3, 1, 1) ="",0, OFFSET('AFC Indiv. Fund Summary (Print)'!BnkChgsPldTrstFndAcct, 1, 3, 1, 1))</f>
        <v>0</v>
      </c>
      <c r="D362" s="352">
        <f ca="1">IF(OFFSET('AFC Indiv. Fund Summary (Print)'!BnkChgsPldTrstFndAcct, 1, 4, 1, 1) = DATE(1900,1,0), DATE(1900,1,1), OFFSET('AFC Indiv. Fund Summary (Print)'!BnkChgsPldTrstFndAcct, 1, 4, 1, 1))</f>
        <v>1</v>
      </c>
      <c r="E362" s="116">
        <f ca="1">IF(OFFSET('AFC Indiv. Fund Summary (Print)'!BnkChgsPldTrstFndAcct, 1, 5, 1, 1) ="",0, OFFSET('AFC Indiv. Fund Summary (Print)'!BnkChgsPldTrstFndAcct, 1, 5, 1, 1))</f>
        <v>0</v>
      </c>
      <c r="F362" s="121">
        <f ca="1">OFFSET('AFC Indiv. Fund Summary (Print)'!BnkChgsPldTrstFndAcct, 1, 1, 1, 1)</f>
        <v>0</v>
      </c>
      <c r="G362" s="124"/>
      <c r="H362" s="124"/>
      <c r="I362" s="136"/>
      <c r="J362" s="124"/>
      <c r="K362" s="124"/>
      <c r="L362" s="112"/>
      <c r="M362" s="112"/>
      <c r="N362" s="112"/>
      <c r="O362" s="112"/>
      <c r="P362" s="125"/>
      <c r="Q362" s="112"/>
      <c r="R362" s="112"/>
      <c r="S362" s="112"/>
      <c r="T362" s="112"/>
      <c r="U362" s="125"/>
    </row>
    <row r="363" spans="1:21">
      <c r="A363" s="168">
        <v>11</v>
      </c>
      <c r="B363" s="352">
        <f ca="1">IF(OFFSET('AFC Indiv. Fund Summary (Print)'!BnkChgsPldTrstFndAcct, 2, 2, 1, 1) = DATE(1900,1,0), DATE(1900,1,1), OFFSET('AFC Indiv. Fund Summary (Print)'!BnkChgsPldTrstFndAcct, 2, 2, 1, 1))</f>
        <v>1</v>
      </c>
      <c r="C363" s="116">
        <f ca="1">IF(OFFSET('AFC Indiv. Fund Summary (Print)'!BnkChgsPldTrstFndAcct, 2, 3, 1, 1) ="",0, OFFSET('AFC Indiv. Fund Summary (Print)'!BnkChgsPldTrstFndAcct, 2, 3, 1, 1))</f>
        <v>0</v>
      </c>
      <c r="D363" s="352">
        <f ca="1">IF(OFFSET('AFC Indiv. Fund Summary (Print)'!BnkChgsPldTrstFndAcct, 2, 4, 1, 1) = DATE(1900,1,0), DATE(1900,1,1), OFFSET('AFC Indiv. Fund Summary (Print)'!BnkChgsPldTrstFndAcct, 2, 4, 1, 1))</f>
        <v>1</v>
      </c>
      <c r="E363" s="116">
        <f ca="1">IF(OFFSET('AFC Indiv. Fund Summary (Print)'!BnkChgsPldTrstFndAcct, 2, 5, 1, 1) ="",0, OFFSET('AFC Indiv. Fund Summary (Print)'!BnkChgsPldTrstFndAcct, 2, 5, 1, 1))</f>
        <v>0</v>
      </c>
      <c r="F363" s="121">
        <f ca="1">OFFSET('AFC Indiv. Fund Summary (Print)'!BnkChgsPldTrstFndAcct, 2, 1, 1, 1)</f>
        <v>0</v>
      </c>
      <c r="G363" s="124"/>
      <c r="H363" s="124"/>
      <c r="I363" s="136"/>
      <c r="J363" s="124"/>
      <c r="K363" s="124"/>
      <c r="L363" s="112"/>
      <c r="M363" s="112"/>
      <c r="N363" s="112"/>
      <c r="O363" s="112"/>
      <c r="P363" s="125"/>
      <c r="Q363" s="112"/>
      <c r="R363" s="112"/>
      <c r="S363" s="112"/>
      <c r="T363" s="112"/>
      <c r="U363" s="125"/>
    </row>
    <row r="364" spans="1:21">
      <c r="A364" s="168">
        <v>11</v>
      </c>
      <c r="B364" s="352">
        <f ca="1">IF(OFFSET('AFC Indiv. Fund Summary (Print)'!BnkChgsPldTrstFndAcct, 3, 2, 1, 1) = DATE(1900,1,0), DATE(1900,1,1), OFFSET('AFC Indiv. Fund Summary (Print)'!BnkChgsPldTrstFndAcct, 3, 2, 1, 1))</f>
        <v>1</v>
      </c>
      <c r="C364" s="116">
        <f ca="1">IF(OFFSET('AFC Indiv. Fund Summary (Print)'!BnkChgsPldTrstFndAcct, 3, 3, 1, 1) ="",0, OFFSET('AFC Indiv. Fund Summary (Print)'!BnkChgsPldTrstFndAcct, 3, 3, 1, 1))</f>
        <v>0</v>
      </c>
      <c r="D364" s="352">
        <f ca="1">IF(OFFSET('AFC Indiv. Fund Summary (Print)'!BnkChgsPldTrstFndAcct, 3, 4, 1, 1) = DATE(1900,1,0), DATE(1900,1,1), OFFSET('AFC Indiv. Fund Summary (Print)'!BnkChgsPldTrstFndAcct, 3, 4, 1, 1))</f>
        <v>1</v>
      </c>
      <c r="E364" s="116">
        <f ca="1">IF(OFFSET('AFC Indiv. Fund Summary (Print)'!BnkChgsPldTrstFndAcct, 3, 5, 1, 1) ="",0, OFFSET('AFC Indiv. Fund Summary (Print)'!BnkChgsPldTrstFndAcct, 3, 5, 1, 1))</f>
        <v>0</v>
      </c>
      <c r="F364" s="121">
        <f ca="1">OFFSET('AFC Indiv. Fund Summary (Print)'!BnkChgsPldTrstFndAcct, 3, 1, 1, 1)</f>
        <v>0</v>
      </c>
      <c r="G364" s="124"/>
      <c r="H364" s="124"/>
      <c r="I364" s="136"/>
      <c r="J364" s="124"/>
      <c r="K364" s="124"/>
      <c r="L364" s="112"/>
      <c r="M364" s="112"/>
      <c r="N364" s="112"/>
      <c r="O364" s="112"/>
      <c r="P364" s="125"/>
      <c r="Q364" s="112"/>
      <c r="R364" s="112"/>
      <c r="S364" s="112"/>
      <c r="T364" s="112"/>
      <c r="U364" s="125"/>
    </row>
    <row r="365" spans="1:21">
      <c r="A365" s="168">
        <v>11</v>
      </c>
      <c r="B365" s="352">
        <f ca="1">IF(OFFSET('AFC Indiv. Fund Summary (Print)'!BnkChgsPldTrstFndAcct, 4, 2, 1, 1) = DATE(1900,1,0), DATE(1900,1,1), OFFSET('AFC Indiv. Fund Summary (Print)'!BnkChgsPldTrstFndAcct, 4, 2, 1, 1))</f>
        <v>1</v>
      </c>
      <c r="C365" s="116">
        <f ca="1">IF(OFFSET('AFC Indiv. Fund Summary (Print)'!BnkChgsPldTrstFndAcct, 4, 3, 1, 1) ="",0, OFFSET('AFC Indiv. Fund Summary (Print)'!BnkChgsPldTrstFndAcct, 4, 3, 1, 1))</f>
        <v>0</v>
      </c>
      <c r="D365" s="352">
        <f ca="1">IF(OFFSET('AFC Indiv. Fund Summary (Print)'!BnkChgsPldTrstFndAcct, 4, 4, 1, 1) = DATE(1900,1,0), DATE(1900,1,1), OFFSET('AFC Indiv. Fund Summary (Print)'!BnkChgsPldTrstFndAcct, 4, 4, 1, 1))</f>
        <v>1</v>
      </c>
      <c r="E365" s="116">
        <f ca="1">IF(OFFSET('AFC Indiv. Fund Summary (Print)'!BnkChgsPldTrstFndAcct, 4, 5, 1, 1) ="",0, OFFSET('AFC Indiv. Fund Summary (Print)'!BnkChgsPldTrstFndAcct, 4, 5, 1, 1))</f>
        <v>0</v>
      </c>
      <c r="F365" s="121">
        <f ca="1">OFFSET('AFC Indiv. Fund Summary (Print)'!BnkChgsPldTrstFndAcct, 4, 1, 1, 1)</f>
        <v>0</v>
      </c>
      <c r="G365" s="124"/>
      <c r="H365" s="124"/>
      <c r="I365" s="136"/>
      <c r="J365" s="124"/>
      <c r="K365" s="124"/>
      <c r="L365" s="112"/>
      <c r="M365" s="112"/>
      <c r="N365" s="112"/>
      <c r="O365" s="112"/>
      <c r="P365" s="125"/>
      <c r="Q365" s="112"/>
      <c r="R365" s="112"/>
      <c r="S365" s="112"/>
      <c r="T365" s="112"/>
      <c r="U365" s="125"/>
    </row>
    <row r="366" spans="1:21">
      <c r="A366" s="168">
        <v>11</v>
      </c>
      <c r="B366" s="352">
        <f ca="1">IF(OFFSET('AFC Indiv. Fund Summary (Print)'!BnkChgsPldTrstFndAcct, 5, 2, 1, 1) = DATE(1900,1,0), DATE(1900,1,1), OFFSET('AFC Indiv. Fund Summary (Print)'!BnkChgsPldTrstFndAcct, 5, 2, 1, 1))</f>
        <v>1</v>
      </c>
      <c r="C366" s="116">
        <f ca="1">IF(OFFSET('AFC Indiv. Fund Summary (Print)'!BnkChgsPldTrstFndAcct, 5, 3, 1, 1) ="",0, OFFSET('AFC Indiv. Fund Summary (Print)'!BnkChgsPldTrstFndAcct, 5, 3, 1, 1))</f>
        <v>0</v>
      </c>
      <c r="D366" s="352">
        <f ca="1">IF(OFFSET('AFC Indiv. Fund Summary (Print)'!BnkChgsPldTrstFndAcct, 5, 4, 1, 1) = DATE(1900,1,0), DATE(1900,1,1), OFFSET('AFC Indiv. Fund Summary (Print)'!BnkChgsPldTrstFndAcct, 5, 4, 1, 1))</f>
        <v>1</v>
      </c>
      <c r="E366" s="116">
        <f ca="1">IF(OFFSET('AFC Indiv. Fund Summary (Print)'!BnkChgsPldTrstFndAcct, 5, 5, 1, 1) ="",0, OFFSET('AFC Indiv. Fund Summary (Print)'!BnkChgsPldTrstFndAcct, 5, 5, 1, 1))</f>
        <v>0</v>
      </c>
      <c r="F366" s="121">
        <f ca="1">OFFSET('AFC Indiv. Fund Summary (Print)'!BnkChgsPldTrstFndAcct, 5, 1, 1, 1)</f>
        <v>0</v>
      </c>
      <c r="G366" s="124"/>
      <c r="H366" s="124"/>
      <c r="I366" s="136"/>
      <c r="J366" s="124"/>
      <c r="K366" s="124"/>
      <c r="L366" s="112"/>
      <c r="M366" s="112"/>
      <c r="N366" s="112"/>
      <c r="O366" s="112"/>
      <c r="P366" s="125"/>
      <c r="Q366" s="112"/>
      <c r="R366" s="112"/>
      <c r="S366" s="112"/>
      <c r="T366" s="112"/>
      <c r="U366" s="125"/>
    </row>
    <row r="367" spans="1:21">
      <c r="A367" s="168">
        <v>11</v>
      </c>
      <c r="B367" s="352">
        <f ca="1">IF(OFFSET('AFC Indiv. Fund Summary (Print)'!BnkChgsPldTrstFndAcct, 6, 2, 1, 1) = DATE(1900,1,0), DATE(1900,1,1), OFFSET('AFC Indiv. Fund Summary (Print)'!BnkChgsPldTrstFndAcct, 6, 2, 1, 1))</f>
        <v>1</v>
      </c>
      <c r="C367" s="116">
        <f ca="1">IF(OFFSET('AFC Indiv. Fund Summary (Print)'!BnkChgsPldTrstFndAcct, 6, 3, 1, 1) ="",0, OFFSET('AFC Indiv. Fund Summary (Print)'!BnkChgsPldTrstFndAcct, 6, 3, 1, 1))</f>
        <v>0</v>
      </c>
      <c r="D367" s="352">
        <f ca="1">IF(OFFSET('AFC Indiv. Fund Summary (Print)'!BnkChgsPldTrstFndAcct, 6, 4, 1, 1) = DATE(1900,1,0), DATE(1900,1,1), OFFSET('AFC Indiv. Fund Summary (Print)'!BnkChgsPldTrstFndAcct, 6, 4, 1, 1))</f>
        <v>1</v>
      </c>
      <c r="E367" s="116">
        <f ca="1">IF(OFFSET('AFC Indiv. Fund Summary (Print)'!BnkChgsPldTrstFndAcct, 6, 5, 1, 1) ="",0, OFFSET('AFC Indiv. Fund Summary (Print)'!BnkChgsPldTrstFndAcct, 6, 5, 1, 1))</f>
        <v>0</v>
      </c>
      <c r="F367" s="121">
        <f ca="1">OFFSET('AFC Indiv. Fund Summary (Print)'!BnkChgsPldTrstFndAcct, 6, 1, 1, 1)</f>
        <v>0</v>
      </c>
      <c r="G367" s="124"/>
      <c r="H367" s="124"/>
      <c r="I367" s="136"/>
      <c r="J367" s="124"/>
      <c r="K367" s="124"/>
      <c r="L367" s="112"/>
      <c r="M367" s="112"/>
      <c r="N367" s="112"/>
      <c r="O367" s="112"/>
      <c r="P367" s="125"/>
      <c r="Q367" s="112"/>
      <c r="R367" s="112"/>
      <c r="S367" s="112"/>
      <c r="T367" s="112"/>
      <c r="U367" s="125"/>
    </row>
    <row r="368" spans="1:21" ht="15" thickBot="1">
      <c r="A368" s="169">
        <v>11</v>
      </c>
      <c r="B368" s="353">
        <f ca="1">IF(OFFSET('AFC Indiv. Fund Summary (Print)'!BnkChgsPldTrstFndAcct, 7, 2, 1, 1) = DATE(1900,1,0), DATE(1900,1,1), OFFSET('AFC Indiv. Fund Summary (Print)'!BnkChgsPldTrstFndAcct, 7, 2, 1, 1))</f>
        <v>1</v>
      </c>
      <c r="C368" s="117">
        <f ca="1">IF(OFFSET('AFC Indiv. Fund Summary (Print)'!BnkChgsPldTrstFndAcct, 7, 3, 1, 1) ="",0, OFFSET('AFC Indiv. Fund Summary (Print)'!BnkChgsPldTrstFndAcct, 7, 3, 1, 1))</f>
        <v>0</v>
      </c>
      <c r="D368" s="353">
        <f ca="1">IF(OFFSET('AFC Indiv. Fund Summary (Print)'!BnkChgsPldTrstFndAcct, 7, 4, 1, 1) = DATE(1900,1,0), DATE(1900,1,1), OFFSET('AFC Indiv. Fund Summary (Print)'!BnkChgsPldTrstFndAcct, 7, 4, 1, 1))</f>
        <v>1</v>
      </c>
      <c r="E368" s="117">
        <f ca="1">IF(OFFSET('AFC Indiv. Fund Summary (Print)'!BnkChgsPldTrstFndAcct, 7, 5, 1, 1) ="",0, OFFSET('AFC Indiv. Fund Summary (Print)'!BnkChgsPldTrstFndAcct, 7, 5, 1, 1))</f>
        <v>0</v>
      </c>
      <c r="F368" s="122">
        <f ca="1">OFFSET('AFC Indiv. Fund Summary (Print)'!BnkChgsPldTrstFndAcct, 7, 1, 1, 1)</f>
        <v>0</v>
      </c>
      <c r="G368" s="124"/>
      <c r="H368" s="124"/>
      <c r="I368" s="136"/>
      <c r="J368" s="124"/>
      <c r="K368" s="124"/>
      <c r="L368" s="112"/>
      <c r="M368" s="112"/>
      <c r="N368" s="112"/>
      <c r="O368" s="112"/>
      <c r="P368" s="125"/>
      <c r="Q368" s="112"/>
      <c r="R368" s="112"/>
      <c r="S368" s="112"/>
      <c r="T368" s="112"/>
      <c r="U368" s="125"/>
    </row>
    <row r="369" spans="1:21">
      <c r="A369" s="135"/>
      <c r="B369" s="124"/>
      <c r="C369" s="124"/>
      <c r="D369" s="124"/>
      <c r="E369" s="124"/>
      <c r="F369" s="124"/>
      <c r="G369" s="124"/>
      <c r="H369" s="124"/>
      <c r="I369" s="136"/>
      <c r="J369" s="124"/>
      <c r="K369" s="124"/>
      <c r="L369" s="112"/>
      <c r="M369" s="112"/>
      <c r="N369" s="112"/>
      <c r="O369" s="112"/>
      <c r="P369" s="125"/>
      <c r="Q369" s="112"/>
      <c r="R369" s="112"/>
      <c r="S369" s="112"/>
      <c r="T369" s="112"/>
      <c r="U369" s="125"/>
    </row>
    <row r="370" spans="1:21" ht="15" thickBot="1">
      <c r="A370" s="135" t="s">
        <v>878</v>
      </c>
      <c r="B370" s="124"/>
      <c r="C370" s="124"/>
      <c r="D370" s="124"/>
      <c r="E370" s="124"/>
      <c r="F370" s="124"/>
      <c r="G370" s="124"/>
      <c r="H370" s="124"/>
      <c r="I370" s="136"/>
      <c r="J370" s="124"/>
      <c r="K370" s="124"/>
      <c r="L370" s="112"/>
      <c r="M370" s="112"/>
      <c r="N370" s="112"/>
      <c r="O370" s="112"/>
      <c r="P370" s="125"/>
      <c r="Q370" s="112"/>
      <c r="R370" s="112"/>
      <c r="S370" s="112"/>
      <c r="T370" s="112"/>
      <c r="U370" s="125"/>
    </row>
    <row r="371" spans="1:21">
      <c r="A371" s="129" t="s">
        <v>841</v>
      </c>
      <c r="B371" s="130" t="s">
        <v>831</v>
      </c>
      <c r="C371" s="130" t="s">
        <v>183</v>
      </c>
      <c r="D371" s="130" t="s">
        <v>151</v>
      </c>
      <c r="E371" s="350" t="s">
        <v>1065</v>
      </c>
      <c r="F371" s="351" t="s">
        <v>1066</v>
      </c>
      <c r="G371" s="124"/>
      <c r="H371" s="124"/>
      <c r="I371" s="136"/>
      <c r="J371" s="124"/>
      <c r="K371" s="124"/>
      <c r="L371" s="112"/>
      <c r="M371" s="112"/>
      <c r="N371" s="112"/>
      <c r="O371" s="112"/>
      <c r="P371" s="125"/>
      <c r="Q371" s="112"/>
      <c r="R371" s="112"/>
      <c r="S371" s="112"/>
      <c r="T371" s="112"/>
      <c r="U371" s="125"/>
    </row>
    <row r="372" spans="1:21">
      <c r="A372" s="354">
        <f ca="1">OFFSET('AFC Indiv. Fund Summary (Print)'!BnkChgsFcltyChcIndvTrstFndAcct, 0, 1, 1, 1)</f>
        <v>0</v>
      </c>
      <c r="B372" s="162">
        <v>12</v>
      </c>
      <c r="C372" s="352">
        <f ca="1">IF(OFFSET('AFC Indiv. Fund Summary (Print)'!BnkChgsFcltyChcIndvTrstFndAcct, 0, 2, 1, 1) = DATE(1900,1,0), DATE(1900,1,1), OFFSET('AFC Indiv. Fund Summary (Print)'!BnkChgsFcltyChcIndvTrstFndAcct, 0, 2, 1, 1))</f>
        <v>1</v>
      </c>
      <c r="D372" s="116">
        <f ca="1">IF(OFFSET('AFC Indiv. Fund Summary (Print)'!BnkChgsFcltyChcIndvTrstFndAcct, 0, 3, 1, 1) ="",0, OFFSET('AFC Indiv. Fund Summary (Print)'!BnkChgsFcltyChcIndvTrstFndAcct, 0, 3, 1, 1))</f>
        <v>0</v>
      </c>
      <c r="E372" s="352">
        <f ca="1">IF(OFFSET('AFC Indiv. Fund Summary (Print)'!BnkChgsFcltyChcIndvTrstFndAcct, 0, 4, 1, 1) = DATE(1900,1,0), DATE(1900,1,1), OFFSET('AFC Indiv. Fund Summary (Print)'!BnkChgsFcltyChcIndvTrstFndAcct, 0, 4, 1, 1))</f>
        <v>1</v>
      </c>
      <c r="F372" s="166">
        <f ca="1">IF(OFFSET('AFC Indiv. Fund Summary (Print)'!BnkChgsFcltyChcIndvTrstFndAcct, 0, 5, 1, 1) ="",0, OFFSET('AFC Indiv. Fund Summary (Print)'!BnkChgsFcltyChcIndvTrstFndAcct, 0, 5, 1, 1))</f>
        <v>0</v>
      </c>
      <c r="G372" s="124"/>
      <c r="H372" s="124"/>
      <c r="I372" s="136"/>
      <c r="J372" s="124"/>
      <c r="K372" s="124"/>
      <c r="L372" s="112"/>
      <c r="M372" s="112"/>
      <c r="N372" s="112"/>
      <c r="O372" s="112"/>
      <c r="P372" s="125"/>
      <c r="Q372" s="112"/>
      <c r="R372" s="112"/>
      <c r="S372" s="112"/>
      <c r="T372" s="112"/>
      <c r="U372" s="125"/>
    </row>
    <row r="373" spans="1:21">
      <c r="A373" s="354">
        <f ca="1">OFFSET('AFC Indiv. Fund Summary (Print)'!BnkChgsFcltyChcIndvTrstFndAcct, 1, 1, 1, 1)</f>
        <v>0</v>
      </c>
      <c r="B373" s="162">
        <v>12</v>
      </c>
      <c r="C373" s="352">
        <f ca="1">IF(OFFSET('AFC Indiv. Fund Summary (Print)'!BnkChgsFcltyChcIndvTrstFndAcct, 1, 2, 1, 1) = DATE(1900,1,0), DATE(1900,1,1), OFFSET('AFC Indiv. Fund Summary (Print)'!BnkChgsFcltyChcIndvTrstFndAcct, 1, 2, 1, 1))</f>
        <v>1</v>
      </c>
      <c r="D373" s="116">
        <f ca="1">IF(OFFSET('AFC Indiv. Fund Summary (Print)'!BnkChgsFcltyChcIndvTrstFndAcct, 1, 3, 1, 1) ="",0, OFFSET('AFC Indiv. Fund Summary (Print)'!BnkChgsFcltyChcIndvTrstFndAcct, 1, 3, 1, 1))</f>
        <v>0</v>
      </c>
      <c r="E373" s="352">
        <f ca="1">IF(OFFSET('AFC Indiv. Fund Summary (Print)'!BnkChgsFcltyChcIndvTrstFndAcct, 1, 4, 1, 1) = DATE(1900,1,0), DATE(1900,1,1), OFFSET('AFC Indiv. Fund Summary (Print)'!BnkChgsFcltyChcIndvTrstFndAcct, 1, 4, 1, 1))</f>
        <v>1</v>
      </c>
      <c r="F373" s="166">
        <f ca="1">IF(OFFSET('AFC Indiv. Fund Summary (Print)'!BnkChgsFcltyChcIndvTrstFndAcct, 1, 5, 1, 1) ="",0, OFFSET('AFC Indiv. Fund Summary (Print)'!BnkChgsFcltyChcIndvTrstFndAcct, 1, 5, 1, 1))</f>
        <v>0</v>
      </c>
      <c r="G373" s="124"/>
      <c r="H373" s="124"/>
      <c r="I373" s="136"/>
      <c r="J373" s="124"/>
      <c r="K373" s="124"/>
      <c r="L373" s="112"/>
      <c r="M373" s="112"/>
      <c r="N373" s="112"/>
      <c r="O373" s="112"/>
      <c r="P373" s="125"/>
      <c r="Q373" s="112"/>
      <c r="R373" s="112"/>
      <c r="S373" s="112"/>
      <c r="T373" s="112"/>
      <c r="U373" s="125"/>
    </row>
    <row r="374" spans="1:21">
      <c r="A374" s="354">
        <f ca="1">OFFSET('AFC Indiv. Fund Summary (Print)'!BnkChgsFcltyChcIndvTrstFndAcct, 2, 1, 1, 1)</f>
        <v>0</v>
      </c>
      <c r="B374" s="162">
        <v>12</v>
      </c>
      <c r="C374" s="352">
        <f ca="1">IF(OFFSET('AFC Indiv. Fund Summary (Print)'!BnkChgsFcltyChcIndvTrstFndAcct, 2, 2, 1, 1) = DATE(1900,1,0), DATE(1900,1,1), OFFSET('AFC Indiv. Fund Summary (Print)'!BnkChgsFcltyChcIndvTrstFndAcct, 2, 2, 1, 1))</f>
        <v>1</v>
      </c>
      <c r="D374" s="116">
        <f ca="1">IF(OFFSET('AFC Indiv. Fund Summary (Print)'!BnkChgsFcltyChcIndvTrstFndAcct, 2, 3, 1, 1) ="",0, OFFSET('AFC Indiv. Fund Summary (Print)'!BnkChgsFcltyChcIndvTrstFndAcct, 2, 3, 1, 1))</f>
        <v>0</v>
      </c>
      <c r="E374" s="352">
        <f ca="1">IF(OFFSET('AFC Indiv. Fund Summary (Print)'!BnkChgsFcltyChcIndvTrstFndAcct, 2, 4, 1, 1) = DATE(1900,1,0), DATE(1900,1,1), OFFSET('AFC Indiv. Fund Summary (Print)'!BnkChgsFcltyChcIndvTrstFndAcct, 2, 4, 1, 1))</f>
        <v>1</v>
      </c>
      <c r="F374" s="166">
        <f ca="1">IF(OFFSET('AFC Indiv. Fund Summary (Print)'!BnkChgsFcltyChcIndvTrstFndAcct, 2, 5, 1, 1) ="",0, OFFSET('AFC Indiv. Fund Summary (Print)'!BnkChgsFcltyChcIndvTrstFndAcct, 2, 5, 1, 1))</f>
        <v>0</v>
      </c>
      <c r="G374" s="124"/>
      <c r="H374" s="124"/>
      <c r="I374" s="136"/>
      <c r="J374" s="124"/>
      <c r="K374" s="124"/>
      <c r="L374" s="112"/>
      <c r="M374" s="112"/>
      <c r="N374" s="112"/>
      <c r="O374" s="112"/>
      <c r="P374" s="125"/>
      <c r="Q374" s="112"/>
      <c r="R374" s="112"/>
      <c r="S374" s="112"/>
      <c r="T374" s="112"/>
      <c r="U374" s="125"/>
    </row>
    <row r="375" spans="1:21">
      <c r="A375" s="354">
        <f ca="1">OFFSET('AFC Indiv. Fund Summary (Print)'!BnkChgsFcltyChcIndvTrstFndAcct, 3, 1, 1, 1)</f>
        <v>0</v>
      </c>
      <c r="B375" s="162">
        <v>12</v>
      </c>
      <c r="C375" s="352">
        <f ca="1">IF(OFFSET('AFC Indiv. Fund Summary (Print)'!BnkChgsFcltyChcIndvTrstFndAcct, 3, 2, 1, 1) = DATE(1900,1,0), DATE(1900,1,1), OFFSET('AFC Indiv. Fund Summary (Print)'!BnkChgsFcltyChcIndvTrstFndAcct, 3, 2, 1, 1))</f>
        <v>1</v>
      </c>
      <c r="D375" s="116">
        <f ca="1">IF(OFFSET('AFC Indiv. Fund Summary (Print)'!BnkChgsFcltyChcIndvTrstFndAcct, 3, 3, 1, 1) ="",0, OFFSET('AFC Indiv. Fund Summary (Print)'!BnkChgsFcltyChcIndvTrstFndAcct, 3, 3, 1, 1))</f>
        <v>0</v>
      </c>
      <c r="E375" s="352">
        <f ca="1">IF(OFFSET('AFC Indiv. Fund Summary (Print)'!BnkChgsFcltyChcIndvTrstFndAcct, 3, 4, 1, 1) = DATE(1900,1,0), DATE(1900,1,1), OFFSET('AFC Indiv. Fund Summary (Print)'!BnkChgsFcltyChcIndvTrstFndAcct, 3, 4, 1, 1))</f>
        <v>1</v>
      </c>
      <c r="F375" s="166">
        <f ca="1">IF(OFFSET('AFC Indiv. Fund Summary (Print)'!BnkChgsFcltyChcIndvTrstFndAcct, 3, 5, 1, 1) ="",0, OFFSET('AFC Indiv. Fund Summary (Print)'!BnkChgsFcltyChcIndvTrstFndAcct, 3, 5, 1, 1))</f>
        <v>0</v>
      </c>
      <c r="G375" s="124"/>
      <c r="H375" s="124"/>
      <c r="I375" s="136"/>
      <c r="J375" s="124"/>
      <c r="K375" s="124"/>
      <c r="L375" s="112"/>
      <c r="M375" s="112"/>
      <c r="N375" s="112"/>
      <c r="O375" s="112"/>
      <c r="P375" s="125"/>
      <c r="Q375" s="112"/>
      <c r="R375" s="112"/>
      <c r="S375" s="112"/>
      <c r="T375" s="112"/>
      <c r="U375" s="125"/>
    </row>
    <row r="376" spans="1:21">
      <c r="A376" s="354">
        <f ca="1">OFFSET('AFC Indiv. Fund Summary (Print)'!BnkChgsFcltyChcIndvTrstFndAcct, 4, 1, 1, 1)</f>
        <v>0</v>
      </c>
      <c r="B376" s="162">
        <v>12</v>
      </c>
      <c r="C376" s="352">
        <f ca="1">IF(OFFSET('AFC Indiv. Fund Summary (Print)'!BnkChgsFcltyChcIndvTrstFndAcct, 4, 2, 1, 1) = DATE(1900,1,0), DATE(1900,1,1), OFFSET('AFC Indiv. Fund Summary (Print)'!BnkChgsFcltyChcIndvTrstFndAcct, 4, 2, 1, 1))</f>
        <v>1</v>
      </c>
      <c r="D376" s="116">
        <f ca="1">IF(OFFSET('AFC Indiv. Fund Summary (Print)'!BnkChgsFcltyChcIndvTrstFndAcct, 4, 3, 1, 1) ="",0, OFFSET('AFC Indiv. Fund Summary (Print)'!BnkChgsFcltyChcIndvTrstFndAcct, 4, 3, 1, 1))</f>
        <v>0</v>
      </c>
      <c r="E376" s="352">
        <f ca="1">IF(OFFSET('AFC Indiv. Fund Summary (Print)'!BnkChgsFcltyChcIndvTrstFndAcct, 4, 4, 1, 1) = DATE(1900,1,0), DATE(1900,1,1), OFFSET('AFC Indiv. Fund Summary (Print)'!BnkChgsFcltyChcIndvTrstFndAcct, 4, 4, 1, 1))</f>
        <v>1</v>
      </c>
      <c r="F376" s="166">
        <f ca="1">IF(OFFSET('AFC Indiv. Fund Summary (Print)'!BnkChgsFcltyChcIndvTrstFndAcct, 4, 5, 1, 1) ="",0, OFFSET('AFC Indiv. Fund Summary (Print)'!BnkChgsFcltyChcIndvTrstFndAcct, 4, 5, 1, 1))</f>
        <v>0</v>
      </c>
      <c r="G376" s="124"/>
      <c r="H376" s="124"/>
      <c r="I376" s="136"/>
      <c r="J376" s="124"/>
      <c r="K376" s="124"/>
      <c r="L376" s="112"/>
      <c r="M376" s="112"/>
      <c r="N376" s="112"/>
      <c r="O376" s="112"/>
      <c r="P376" s="125"/>
      <c r="Q376" s="112"/>
      <c r="R376" s="112"/>
      <c r="S376" s="112"/>
      <c r="T376" s="112"/>
      <c r="U376" s="125"/>
    </row>
    <row r="377" spans="1:21">
      <c r="A377" s="354">
        <f ca="1">OFFSET('AFC Indiv. Fund Summary (Print)'!BnkChgsFcltyChcIndvTrstFndAcct, 5, 1, 1, 1)</f>
        <v>0</v>
      </c>
      <c r="B377" s="162">
        <v>12</v>
      </c>
      <c r="C377" s="352">
        <f ca="1">IF(OFFSET('AFC Indiv. Fund Summary (Print)'!BnkChgsFcltyChcIndvTrstFndAcct, 5, 2, 1, 1) = DATE(1900,1,0), DATE(1900,1,1), OFFSET('AFC Indiv. Fund Summary (Print)'!BnkChgsFcltyChcIndvTrstFndAcct, 5, 2, 1, 1))</f>
        <v>1</v>
      </c>
      <c r="D377" s="116">
        <f ca="1">IF(OFFSET('AFC Indiv. Fund Summary (Print)'!BnkChgsFcltyChcIndvTrstFndAcct, 5, 3, 1, 1) ="",0, OFFSET('AFC Indiv. Fund Summary (Print)'!BnkChgsFcltyChcIndvTrstFndAcct, 5, 3, 1, 1))</f>
        <v>0</v>
      </c>
      <c r="E377" s="352">
        <f ca="1">IF(OFFSET('AFC Indiv. Fund Summary (Print)'!BnkChgsFcltyChcIndvTrstFndAcct, 5, 4, 1, 1) = DATE(1900,1,0), DATE(1900,1,1), OFFSET('AFC Indiv. Fund Summary (Print)'!BnkChgsFcltyChcIndvTrstFndAcct, 5, 4, 1, 1))</f>
        <v>1</v>
      </c>
      <c r="F377" s="166">
        <f ca="1">IF(OFFSET('AFC Indiv. Fund Summary (Print)'!BnkChgsFcltyChcIndvTrstFndAcct, 5, 5, 1, 1) ="",0, OFFSET('AFC Indiv. Fund Summary (Print)'!BnkChgsFcltyChcIndvTrstFndAcct, 5, 5, 1, 1))</f>
        <v>0</v>
      </c>
      <c r="G377" s="124"/>
      <c r="H377" s="124"/>
      <c r="I377" s="136"/>
      <c r="J377" s="124"/>
      <c r="K377" s="124"/>
      <c r="L377" s="112"/>
      <c r="M377" s="112"/>
      <c r="N377" s="112"/>
      <c r="O377" s="112"/>
      <c r="P377" s="125"/>
      <c r="Q377" s="112"/>
      <c r="R377" s="112"/>
      <c r="S377" s="112"/>
      <c r="T377" s="112"/>
      <c r="U377" s="125"/>
    </row>
    <row r="378" spans="1:21">
      <c r="A378" s="354">
        <f ca="1">OFFSET('AFC Indiv. Fund Summary (Print)'!BnkChgsFcltyChcIndvTrstFndAcct, 6, 1, 1, 1)</f>
        <v>0</v>
      </c>
      <c r="B378" s="162">
        <v>12</v>
      </c>
      <c r="C378" s="352">
        <f ca="1">IF(OFFSET('AFC Indiv. Fund Summary (Print)'!BnkChgsFcltyChcIndvTrstFndAcct, 6, 2, 1, 1) = DATE(1900,1,0), DATE(1900,1,1), OFFSET('AFC Indiv. Fund Summary (Print)'!BnkChgsFcltyChcIndvTrstFndAcct, 6, 2, 1, 1))</f>
        <v>1</v>
      </c>
      <c r="D378" s="116">
        <f ca="1">IF(OFFSET('AFC Indiv. Fund Summary (Print)'!BnkChgsFcltyChcIndvTrstFndAcct, 6, 3, 1, 1) ="",0, OFFSET('AFC Indiv. Fund Summary (Print)'!BnkChgsFcltyChcIndvTrstFndAcct, 6, 3, 1, 1))</f>
        <v>0</v>
      </c>
      <c r="E378" s="352">
        <f ca="1">IF(OFFSET('AFC Indiv. Fund Summary (Print)'!BnkChgsFcltyChcIndvTrstFndAcct, 6, 4, 1, 1) = DATE(1900,1,0), DATE(1900,1,1), OFFSET('AFC Indiv. Fund Summary (Print)'!BnkChgsFcltyChcIndvTrstFndAcct, 6, 4, 1, 1))</f>
        <v>1</v>
      </c>
      <c r="F378" s="166">
        <f ca="1">IF(OFFSET('AFC Indiv. Fund Summary (Print)'!BnkChgsFcltyChcIndvTrstFndAcct, 6, 5, 1, 1) ="",0, OFFSET('AFC Indiv. Fund Summary (Print)'!BnkChgsFcltyChcIndvTrstFndAcct, 6, 5, 1, 1))</f>
        <v>0</v>
      </c>
      <c r="G378" s="124"/>
      <c r="H378" s="124"/>
      <c r="I378" s="136"/>
      <c r="J378" s="124"/>
      <c r="K378" s="124"/>
      <c r="L378" s="112"/>
      <c r="M378" s="112"/>
      <c r="N378" s="112"/>
      <c r="O378" s="112"/>
      <c r="P378" s="125"/>
      <c r="Q378" s="112"/>
      <c r="R378" s="112"/>
      <c r="S378" s="112"/>
      <c r="T378" s="112"/>
      <c r="U378" s="125"/>
    </row>
    <row r="379" spans="1:21" ht="15" thickBot="1">
      <c r="A379" s="355">
        <f ca="1">OFFSET('AFC Indiv. Fund Summary (Print)'!BnkChgsFcltyChcIndvTrstFndAcct, 7, 1, 1, 1)</f>
        <v>0</v>
      </c>
      <c r="B379" s="163">
        <v>12</v>
      </c>
      <c r="C379" s="353">
        <f ca="1">IF(OFFSET('AFC Indiv. Fund Summary (Print)'!BnkChgsFcltyChcIndvTrstFndAcct, 7, 2, 1, 1) = DATE(1900,1,0), DATE(1900,1,1), OFFSET('AFC Indiv. Fund Summary (Print)'!BnkChgsFcltyChcIndvTrstFndAcct, 7, 2, 1, 1))</f>
        <v>1</v>
      </c>
      <c r="D379" s="117">
        <f ca="1">IF(OFFSET('AFC Indiv. Fund Summary (Print)'!BnkChgsFcltyChcIndvTrstFndAcct, 7, 3, 1, 1) ="",0, OFFSET('AFC Indiv. Fund Summary (Print)'!BnkChgsFcltyChcIndvTrstFndAcct, 7, 3, 1, 1))</f>
        <v>0</v>
      </c>
      <c r="E379" s="353">
        <f ca="1">IF(OFFSET('AFC Indiv. Fund Summary (Print)'!BnkChgsFcltyChcIndvTrstFndAcct, 7, 4, 1, 1) = DATE(1900,1,0), DATE(1900,1,1), OFFSET('AFC Indiv. Fund Summary (Print)'!BnkChgsFcltyChcIndvTrstFndAcct, 7, 4, 1, 1))</f>
        <v>1</v>
      </c>
      <c r="F379" s="167">
        <f ca="1">IF(OFFSET('AFC Indiv. Fund Summary (Print)'!BnkChgsFcltyChcIndvTrstFndAcct, 7, 5, 1, 1) ="",0, OFFSET('AFC Indiv. Fund Summary (Print)'!BnkChgsFcltyChcIndvTrstFndAcct, 7, 5, 1, 1))</f>
        <v>0</v>
      </c>
      <c r="G379" s="124"/>
      <c r="H379" s="124"/>
      <c r="I379" s="136"/>
      <c r="J379" s="124"/>
      <c r="K379" s="124"/>
      <c r="L379" s="112"/>
      <c r="M379" s="112"/>
      <c r="N379" s="112"/>
      <c r="O379" s="112"/>
      <c r="P379" s="125"/>
      <c r="Q379" s="112"/>
      <c r="R379" s="112"/>
      <c r="S379" s="112"/>
      <c r="T379" s="112"/>
      <c r="U379" s="125"/>
    </row>
    <row r="380" spans="1:21">
      <c r="A380" s="135"/>
      <c r="B380" s="124"/>
      <c r="C380" s="124"/>
      <c r="D380" s="124"/>
      <c r="E380" s="124"/>
      <c r="F380" s="124"/>
      <c r="G380" s="124"/>
      <c r="H380" s="124"/>
      <c r="I380" s="136"/>
      <c r="J380" s="124"/>
      <c r="K380" s="124"/>
      <c r="L380" s="112"/>
      <c r="M380" s="112"/>
      <c r="N380" s="112"/>
      <c r="O380" s="112"/>
      <c r="P380" s="125"/>
      <c r="Q380" s="112"/>
      <c r="R380" s="112"/>
      <c r="S380" s="112"/>
      <c r="T380" s="112"/>
      <c r="U380" s="125"/>
    </row>
    <row r="381" spans="1:21" ht="15" thickBot="1">
      <c r="A381" s="135" t="s">
        <v>879</v>
      </c>
      <c r="B381" s="124"/>
      <c r="C381" s="124"/>
      <c r="D381" s="124"/>
      <c r="F381" s="124"/>
      <c r="G381" s="124"/>
      <c r="H381" s="124"/>
      <c r="I381" s="136"/>
      <c r="J381" s="124"/>
      <c r="K381" s="124"/>
      <c r="L381" s="112"/>
      <c r="M381" s="112"/>
      <c r="N381" s="112"/>
      <c r="O381" s="112"/>
      <c r="P381" s="125"/>
      <c r="Q381" s="112"/>
      <c r="R381" s="112"/>
      <c r="S381" s="112"/>
      <c r="T381" s="112"/>
      <c r="U381" s="125"/>
    </row>
    <row r="382" spans="1:21">
      <c r="A382" s="129" t="s">
        <v>831</v>
      </c>
      <c r="B382" s="130" t="s">
        <v>822</v>
      </c>
      <c r="C382" s="130" t="s">
        <v>840</v>
      </c>
      <c r="D382" s="351" t="s">
        <v>726</v>
      </c>
      <c r="E382" s="124"/>
      <c r="F382" s="124"/>
      <c r="G382" s="124"/>
      <c r="H382" s="124"/>
      <c r="I382" s="136"/>
      <c r="J382" s="124"/>
      <c r="K382" s="124"/>
      <c r="L382" s="112"/>
      <c r="M382" s="112"/>
      <c r="N382" s="112"/>
      <c r="O382" s="112"/>
      <c r="P382" s="125"/>
      <c r="Q382" s="112"/>
      <c r="R382" s="112"/>
      <c r="S382" s="112"/>
      <c r="T382" s="112"/>
      <c r="U382" s="125"/>
    </row>
    <row r="383" spans="1:21">
      <c r="A383" s="168">
        <v>13</v>
      </c>
      <c r="B383" s="108">
        <f ca="1">IF(OFFSET('AFC Indiv. Fund Summary (Print)'!DpstsPldTrstFndAcct, 0, 2, 1, 1) =DATE(1900,1,0),DATE(1900,1,1),OFFSET('AFC Indiv. Fund Summary (Print)'!DpstsPldTrstFndAcct, 0, 2, 1, 1))</f>
        <v>1</v>
      </c>
      <c r="C383" s="116">
        <f ca="1">IF(OFFSET('AFC Indiv. Fund Summary (Print)'!DpstsPldTrstFndAcct,0,3,1,1)="",0,OFFSET('AFC Indiv. Fund Summary (Print)'!DpstsPldTrstFndAcct,0,3,1,1))</f>
        <v>0</v>
      </c>
      <c r="D383" s="121">
        <f ca="1">OFFSET('AFC Indiv. Fund Summary (Print)'!DpstsPldTrstFndAcct, 0, 1, 1, 1)</f>
        <v>0</v>
      </c>
      <c r="F383" s="124"/>
      <c r="G383" s="124"/>
      <c r="H383" s="124"/>
      <c r="I383" s="136"/>
      <c r="J383" s="124"/>
      <c r="K383" s="124"/>
      <c r="L383" s="112"/>
      <c r="M383" s="112"/>
      <c r="N383" s="112"/>
      <c r="O383" s="112"/>
      <c r="P383" s="125"/>
      <c r="Q383" s="112"/>
      <c r="R383" s="112"/>
      <c r="S383" s="112"/>
      <c r="T383" s="112"/>
      <c r="U383" s="125"/>
    </row>
    <row r="384" spans="1:21">
      <c r="A384" s="168">
        <v>13</v>
      </c>
      <c r="B384" s="108">
        <f ca="1">IF(OFFSET('AFC Indiv. Fund Summary (Print)'!DpstsPldTrstFndAcct, 1, 2, 1, 1) =DATE(1900,1,0),DATE(1900,1,1),OFFSET('AFC Indiv. Fund Summary (Print)'!DpstsPldTrstFndAcct, 1, 2, 1, 1))</f>
        <v>1</v>
      </c>
      <c r="C384" s="116">
        <f ca="1">IF(OFFSET('AFC Indiv. Fund Summary (Print)'!DpstsPldTrstFndAcct,1,3,1,1)="",0,OFFSET('AFC Indiv. Fund Summary (Print)'!DpstsPldTrstFndAcct,1,3,1,1))</f>
        <v>0</v>
      </c>
      <c r="D384" s="121">
        <f ca="1">OFFSET('AFC Indiv. Fund Summary (Print)'!DpstsPldTrstFndAcct, 1, 1, 1, 1)</f>
        <v>0</v>
      </c>
      <c r="E384" s="124"/>
      <c r="F384" s="124"/>
      <c r="G384" s="124"/>
      <c r="H384" s="124"/>
      <c r="I384" s="136"/>
      <c r="J384" s="124"/>
      <c r="K384" s="124"/>
      <c r="L384" s="112"/>
      <c r="M384" s="112"/>
      <c r="N384" s="112"/>
      <c r="O384" s="112"/>
      <c r="P384" s="125"/>
      <c r="Q384" s="112"/>
      <c r="R384" s="112"/>
      <c r="S384" s="112"/>
      <c r="T384" s="112"/>
      <c r="U384" s="125"/>
    </row>
    <row r="385" spans="1:21">
      <c r="A385" s="168">
        <v>13</v>
      </c>
      <c r="B385" s="108">
        <f ca="1">IF(OFFSET('AFC Indiv. Fund Summary (Print)'!DpstsPldTrstFndAcct, 2, 2, 1, 1) =DATE(1900,1,0),DATE(1900,1,1),OFFSET('AFC Indiv. Fund Summary (Print)'!DpstsPldTrstFndAcct, 2, 2, 1, 1))</f>
        <v>1</v>
      </c>
      <c r="C385" s="116">
        <f ca="1">IF(OFFSET('AFC Indiv. Fund Summary (Print)'!DpstsPldTrstFndAcct,2,3,1,1)="",0,OFFSET('AFC Indiv. Fund Summary (Print)'!DpstsPldTrstFndAcct,2,3,1,1))</f>
        <v>0</v>
      </c>
      <c r="D385" s="121">
        <f ca="1">OFFSET('AFC Indiv. Fund Summary (Print)'!DpstsPldTrstFndAcct, 2, 1, 1, 1)</f>
        <v>0</v>
      </c>
      <c r="E385" s="124"/>
      <c r="F385" s="124"/>
      <c r="G385" s="124"/>
      <c r="H385" s="124"/>
      <c r="I385" s="136"/>
      <c r="J385" s="124"/>
      <c r="K385" s="124"/>
      <c r="L385" s="112"/>
      <c r="M385" s="112"/>
      <c r="N385" s="112"/>
      <c r="O385" s="112"/>
      <c r="P385" s="125"/>
      <c r="Q385" s="112"/>
      <c r="R385" s="112"/>
      <c r="S385" s="112"/>
      <c r="T385" s="112"/>
      <c r="U385" s="125"/>
    </row>
    <row r="386" spans="1:21">
      <c r="A386" s="168">
        <v>13</v>
      </c>
      <c r="B386" s="108">
        <f ca="1">IF(OFFSET('AFC Indiv. Fund Summary (Print)'!DpstsPldTrstFndAcct, 3, 2, 1, 1) =DATE(1900,1,0),DATE(1900,1,1),OFFSET('AFC Indiv. Fund Summary (Print)'!DpstsPldTrstFndAcct, 3, 2, 1, 1))</f>
        <v>1</v>
      </c>
      <c r="C386" s="116">
        <f ca="1">IF(OFFSET('AFC Indiv. Fund Summary (Print)'!DpstsPldTrstFndAcct,3,3,1,1)="",0,OFFSET('AFC Indiv. Fund Summary (Print)'!DpstsPldTrstFndAcct,3,3,1,1))</f>
        <v>0</v>
      </c>
      <c r="D386" s="121">
        <f ca="1">OFFSET('AFC Indiv. Fund Summary (Print)'!DpstsPldTrstFndAcct, 3, 1, 1, 1)</f>
        <v>0</v>
      </c>
      <c r="E386" s="124"/>
      <c r="F386" s="124"/>
      <c r="G386" s="124"/>
      <c r="H386" s="124"/>
      <c r="I386" s="136"/>
      <c r="J386" s="124"/>
      <c r="K386" s="124"/>
      <c r="L386" s="112"/>
      <c r="M386" s="112"/>
      <c r="N386" s="112"/>
      <c r="O386" s="112"/>
      <c r="P386" s="125"/>
      <c r="Q386" s="112"/>
      <c r="R386" s="112"/>
      <c r="S386" s="112"/>
      <c r="T386" s="112"/>
      <c r="U386" s="125"/>
    </row>
    <row r="387" spans="1:21">
      <c r="A387" s="168">
        <v>13</v>
      </c>
      <c r="B387" s="108">
        <f ca="1">IF(OFFSET('AFC Indiv. Fund Summary (Print)'!DpstsPldTrstFndAcct, 4, 2, 1, 1) =DATE(1900,1,0),DATE(1900,1,1),OFFSET('AFC Indiv. Fund Summary (Print)'!DpstsPldTrstFndAcct, 4, 2, 1, 1))</f>
        <v>1</v>
      </c>
      <c r="C387" s="116">
        <f ca="1">IF(OFFSET('AFC Indiv. Fund Summary (Print)'!DpstsPldTrstFndAcct,4,3,1,1)="",0,OFFSET('AFC Indiv. Fund Summary (Print)'!DpstsPldTrstFndAcct,4,3,1,1))</f>
        <v>0</v>
      </c>
      <c r="D387" s="121">
        <f ca="1">OFFSET('AFC Indiv. Fund Summary (Print)'!DpstsPldTrstFndAcct, 4, 1, 1, 1)</f>
        <v>0</v>
      </c>
      <c r="E387" s="124"/>
      <c r="F387" s="124"/>
      <c r="G387" s="124"/>
      <c r="H387" s="124"/>
      <c r="I387" s="136"/>
      <c r="J387" s="124"/>
      <c r="K387" s="124"/>
      <c r="L387" s="112"/>
      <c r="M387" s="112"/>
      <c r="N387" s="112"/>
      <c r="O387" s="112"/>
      <c r="P387" s="125"/>
      <c r="Q387" s="112"/>
      <c r="R387" s="112"/>
      <c r="S387" s="112"/>
      <c r="T387" s="112"/>
      <c r="U387" s="125"/>
    </row>
    <row r="388" spans="1:21">
      <c r="A388" s="168">
        <v>13</v>
      </c>
      <c r="B388" s="108">
        <f ca="1">IF(OFFSET('AFC Indiv. Fund Summary (Print)'!DpstsPldTrstFndAcct, 5, 2, 1, 1) =DATE(1900,1,0),DATE(1900,1,1),OFFSET('AFC Indiv. Fund Summary (Print)'!DpstsPldTrstFndAcct, 5, 2, 1, 1))</f>
        <v>1</v>
      </c>
      <c r="C388" s="116">
        <f ca="1">IF(OFFSET('AFC Indiv. Fund Summary (Print)'!DpstsPldTrstFndAcct,5,3,1,1)="",0,OFFSET('AFC Indiv. Fund Summary (Print)'!DpstsPldTrstFndAcct,5,3,1,1))</f>
        <v>0</v>
      </c>
      <c r="D388" s="121">
        <f ca="1">OFFSET('AFC Indiv. Fund Summary (Print)'!DpstsPldTrstFndAcct, 5, 1, 1, 1)</f>
        <v>0</v>
      </c>
      <c r="E388" s="124"/>
      <c r="F388" s="124"/>
      <c r="G388" s="124"/>
      <c r="H388" s="124"/>
      <c r="I388" s="136"/>
      <c r="J388" s="124"/>
      <c r="K388" s="124"/>
      <c r="L388" s="112"/>
      <c r="M388" s="112"/>
      <c r="N388" s="112"/>
      <c r="O388" s="112"/>
      <c r="P388" s="125"/>
      <c r="Q388" s="112"/>
      <c r="R388" s="112"/>
      <c r="S388" s="112"/>
      <c r="T388" s="112"/>
      <c r="U388" s="125"/>
    </row>
    <row r="389" spans="1:21">
      <c r="A389" s="168">
        <v>13</v>
      </c>
      <c r="B389" s="108">
        <f ca="1">IF(OFFSET('AFC Indiv. Fund Summary (Print)'!DpstsPldTrstFndAcct, 6, 2, 1, 1) =DATE(1900,1,0),DATE(1900,1,1),OFFSET('AFC Indiv. Fund Summary (Print)'!DpstsPldTrstFndAcct, 6, 2, 1, 1))</f>
        <v>1</v>
      </c>
      <c r="C389" s="116">
        <f ca="1">IF(OFFSET('AFC Indiv. Fund Summary (Print)'!DpstsPldTrstFndAcct,6,3,1,1)="",0,OFFSET('AFC Indiv. Fund Summary (Print)'!DpstsPldTrstFndAcct,6,3,1,1))</f>
        <v>0</v>
      </c>
      <c r="D389" s="121">
        <f ca="1">OFFSET('AFC Indiv. Fund Summary (Print)'!DpstsPldTrstFndAcct, 6, 1, 1, 1)</f>
        <v>0</v>
      </c>
      <c r="E389" s="124"/>
      <c r="F389" s="124"/>
      <c r="G389" s="124"/>
      <c r="H389" s="124"/>
      <c r="I389" s="136"/>
      <c r="J389" s="124"/>
      <c r="K389" s="124"/>
      <c r="L389" s="112"/>
      <c r="M389" s="112"/>
      <c r="N389" s="112"/>
      <c r="O389" s="112"/>
      <c r="P389" s="125"/>
      <c r="Q389" s="112"/>
      <c r="R389" s="112"/>
      <c r="S389" s="112"/>
      <c r="T389" s="112"/>
      <c r="U389" s="125"/>
    </row>
    <row r="390" spans="1:21" ht="15" thickBot="1">
      <c r="A390" s="169">
        <v>13</v>
      </c>
      <c r="B390" s="110">
        <f ca="1">IF(OFFSET('AFC Indiv. Fund Summary (Print)'!DpstsPldTrstFndAcct, 7, 2, 1, 1) =DATE(1900,1,0),DATE(1900,1,1),OFFSET('AFC Indiv. Fund Summary (Print)'!DpstsPldTrstFndAcct, 7, 2, 1, 1))</f>
        <v>1</v>
      </c>
      <c r="C390" s="117">
        <f ca="1">IF(OFFSET('AFC Indiv. Fund Summary (Print)'!DpstsPldTrstFndAcct,7,3,1,1)="",0,OFFSET('AFC Indiv. Fund Summary (Print)'!DpstsPldTrstFndAcct,7,3,1,1))</f>
        <v>0</v>
      </c>
      <c r="D390" s="122">
        <f ca="1">OFFSET('AFC Indiv. Fund Summary (Print)'!DpstsPldTrstFndAcct, 7, 1, 1, 1)</f>
        <v>0</v>
      </c>
      <c r="E390" s="124"/>
      <c r="F390" s="124"/>
      <c r="G390" s="124"/>
      <c r="H390" s="124"/>
      <c r="I390" s="136"/>
      <c r="J390" s="124"/>
      <c r="K390" s="124"/>
      <c r="L390" s="112"/>
      <c r="M390" s="112"/>
      <c r="N390" s="112"/>
      <c r="O390" s="112"/>
      <c r="P390" s="125"/>
      <c r="Q390" s="112"/>
      <c r="R390" s="112"/>
      <c r="S390" s="112"/>
      <c r="T390" s="112"/>
      <c r="U390" s="125"/>
    </row>
    <row r="391" spans="1:21">
      <c r="A391" s="135"/>
      <c r="B391" s="124"/>
      <c r="C391" s="124"/>
      <c r="D391" s="124"/>
      <c r="E391" s="124"/>
      <c r="F391" s="124"/>
      <c r="G391" s="124"/>
      <c r="H391" s="124"/>
      <c r="I391" s="136"/>
      <c r="J391" s="124"/>
      <c r="K391" s="124"/>
      <c r="L391" s="112"/>
      <c r="M391" s="112"/>
      <c r="N391" s="112"/>
      <c r="O391" s="112"/>
      <c r="P391" s="125"/>
      <c r="Q391" s="112"/>
      <c r="R391" s="112"/>
      <c r="S391" s="112"/>
      <c r="T391" s="112"/>
      <c r="U391" s="125"/>
    </row>
    <row r="392" spans="1:21" ht="15" thickBot="1">
      <c r="A392" s="124" t="s">
        <v>880</v>
      </c>
      <c r="B392" s="124"/>
      <c r="C392" s="124"/>
      <c r="D392" s="124"/>
      <c r="E392" s="124"/>
      <c r="F392" s="124"/>
      <c r="G392" s="124"/>
      <c r="H392" s="124"/>
      <c r="I392" s="136"/>
      <c r="J392" s="124"/>
      <c r="K392" s="124"/>
      <c r="L392" s="112"/>
      <c r="M392" s="112"/>
      <c r="N392" s="112"/>
      <c r="O392" s="112"/>
      <c r="P392" s="125"/>
      <c r="Q392" s="112"/>
      <c r="R392" s="112"/>
      <c r="S392" s="112"/>
      <c r="T392" s="112"/>
      <c r="U392" s="125"/>
    </row>
    <row r="393" spans="1:21">
      <c r="A393" s="129" t="s">
        <v>841</v>
      </c>
      <c r="B393" s="130" t="s">
        <v>831</v>
      </c>
      <c r="C393" s="130" t="s">
        <v>822</v>
      </c>
      <c r="D393" s="131" t="s">
        <v>151</v>
      </c>
      <c r="E393" s="124"/>
      <c r="F393" s="124"/>
      <c r="G393" s="124"/>
      <c r="H393" s="124"/>
      <c r="I393" s="136"/>
      <c r="J393" s="124"/>
      <c r="K393" s="124"/>
      <c r="L393" s="112"/>
      <c r="M393" s="112"/>
      <c r="N393" s="112"/>
      <c r="O393" s="112"/>
      <c r="P393" s="125"/>
      <c r="Q393" s="112"/>
      <c r="R393" s="112"/>
      <c r="S393" s="112"/>
      <c r="T393" s="112"/>
      <c r="U393" s="125"/>
    </row>
    <row r="394" spans="1:21">
      <c r="A394" s="168">
        <f ca="1">OFFSET('AFC Indiv. Fund Summary (Print)'!DpstsIndvTrstFndOrPtyCshAcct, 0, 1, 1, 1)</f>
        <v>0</v>
      </c>
      <c r="B394" s="162">
        <v>13</v>
      </c>
      <c r="C394" s="108">
        <f ca="1">IF(OFFSET('AFC Indiv. Fund Summary (Print)'!DpstsIndvTrstFndOrPtyCshAcct, 0, 2, 1, 1) =DATE(1900,1,0),DATE(1900,1,1),OFFSET('AFC Indiv. Fund Summary (Print)'!DpstsIndvTrstFndOrPtyCshAcct, 0, 2, 1, 1))</f>
        <v>1</v>
      </c>
      <c r="D394" s="166">
        <f ca="1">IF(OFFSET('AFC Indiv. Fund Summary (Print)'!DpstsIndvTrstFndOrPtyCshAcct, 0, 3, 1, 1)="",0, OFFSET('AFC Indiv. Fund Summary (Print)'!DpstsIndvTrstFndOrPtyCshAcct, 0, 3, 1, 1))</f>
        <v>0</v>
      </c>
      <c r="E394" s="124"/>
      <c r="F394" s="124"/>
      <c r="G394" s="124"/>
      <c r="H394" s="124"/>
      <c r="I394" s="136"/>
      <c r="J394" s="124"/>
      <c r="K394" s="124"/>
      <c r="L394" s="112"/>
      <c r="M394" s="112"/>
      <c r="N394" s="112"/>
      <c r="O394" s="112"/>
      <c r="P394" s="125"/>
      <c r="Q394" s="112"/>
      <c r="R394" s="112"/>
      <c r="S394" s="112"/>
      <c r="T394" s="112"/>
      <c r="U394" s="125"/>
    </row>
    <row r="395" spans="1:21">
      <c r="A395" s="168">
        <f ca="1">OFFSET('AFC Indiv. Fund Summary (Print)'!DpstsIndvTrstFndOrPtyCshAcct, 1, 1, 1, 1)</f>
        <v>0</v>
      </c>
      <c r="B395" s="162">
        <v>13</v>
      </c>
      <c r="C395" s="108">
        <f ca="1">IF(OFFSET('AFC Indiv. Fund Summary (Print)'!DpstsIndvTrstFndOrPtyCshAcct, 1, 2, 1, 1) =DATE(1900,1,0),DATE(1900,1,1),OFFSET('AFC Indiv. Fund Summary (Print)'!DpstsIndvTrstFndOrPtyCshAcct, 1, 2, 1, 1))</f>
        <v>1</v>
      </c>
      <c r="D395" s="166">
        <f ca="1">IF(OFFSET('AFC Indiv. Fund Summary (Print)'!DpstsIndvTrstFndOrPtyCshAcct, 1, 3, 1, 1)="",0, OFFSET('AFC Indiv. Fund Summary (Print)'!DpstsIndvTrstFndOrPtyCshAcct, 1, 3, 1, 1))</f>
        <v>0</v>
      </c>
      <c r="E395" s="124"/>
      <c r="F395" s="124"/>
      <c r="G395" s="124"/>
      <c r="H395" s="124"/>
      <c r="I395" s="136"/>
      <c r="J395" s="124"/>
      <c r="K395" s="124"/>
      <c r="L395" s="112"/>
      <c r="M395" s="112"/>
      <c r="N395" s="112"/>
      <c r="O395" s="112"/>
      <c r="P395" s="125"/>
      <c r="Q395" s="112"/>
      <c r="R395" s="112"/>
      <c r="S395" s="112"/>
      <c r="T395" s="112"/>
      <c r="U395" s="125"/>
    </row>
    <row r="396" spans="1:21">
      <c r="A396" s="168">
        <f ca="1">OFFSET('AFC Indiv. Fund Summary (Print)'!DpstsIndvTrstFndOrPtyCshAcct, 2, 1, 1, 1)</f>
        <v>0</v>
      </c>
      <c r="B396" s="162">
        <v>13</v>
      </c>
      <c r="C396" s="108">
        <f ca="1">IF(OFFSET('AFC Indiv. Fund Summary (Print)'!DpstsIndvTrstFndOrPtyCshAcct, 2, 2, 1, 1) =DATE(1900,1,0),DATE(1900,1,1),OFFSET('AFC Indiv. Fund Summary (Print)'!DpstsIndvTrstFndOrPtyCshAcct, 2, 2, 1, 1))</f>
        <v>1</v>
      </c>
      <c r="D396" s="166">
        <f ca="1">IF(OFFSET('AFC Indiv. Fund Summary (Print)'!DpstsIndvTrstFndOrPtyCshAcct, 2, 3, 1, 1)="",0, OFFSET('AFC Indiv. Fund Summary (Print)'!DpstsIndvTrstFndOrPtyCshAcct, 2, 3, 1, 1))</f>
        <v>0</v>
      </c>
      <c r="E396" s="124"/>
      <c r="F396" s="124"/>
      <c r="G396" s="124"/>
      <c r="H396" s="124"/>
      <c r="I396" s="136"/>
      <c r="J396" s="124"/>
      <c r="K396" s="124"/>
      <c r="L396" s="112"/>
      <c r="M396" s="112"/>
      <c r="N396" s="112"/>
      <c r="O396" s="112"/>
      <c r="P396" s="125"/>
      <c r="Q396" s="112"/>
      <c r="R396" s="112"/>
      <c r="S396" s="112"/>
      <c r="T396" s="112"/>
      <c r="U396" s="125"/>
    </row>
    <row r="397" spans="1:21">
      <c r="A397" s="168">
        <f ca="1">OFFSET('AFC Indiv. Fund Summary (Print)'!DpstsIndvTrstFndOrPtyCshAcct, 3, 1, 1, 1)</f>
        <v>0</v>
      </c>
      <c r="B397" s="162">
        <v>13</v>
      </c>
      <c r="C397" s="108">
        <f ca="1">IF(OFFSET('AFC Indiv. Fund Summary (Print)'!DpstsIndvTrstFndOrPtyCshAcct, 3, 2, 1, 1) =DATE(1900,1,0),DATE(1900,1,1),OFFSET('AFC Indiv. Fund Summary (Print)'!DpstsIndvTrstFndOrPtyCshAcct, 3, 2, 1, 1))</f>
        <v>1</v>
      </c>
      <c r="D397" s="166">
        <f ca="1">IF(OFFSET('AFC Indiv. Fund Summary (Print)'!DpstsIndvTrstFndOrPtyCshAcct, 3, 3, 1, 1)="",0, OFFSET('AFC Indiv. Fund Summary (Print)'!DpstsIndvTrstFndOrPtyCshAcct, 3, 3, 1, 1))</f>
        <v>0</v>
      </c>
      <c r="E397" s="124"/>
      <c r="F397" s="124"/>
      <c r="G397" s="124"/>
      <c r="H397" s="124"/>
      <c r="I397" s="136"/>
      <c r="J397" s="124"/>
      <c r="K397" s="124"/>
      <c r="L397" s="112"/>
      <c r="M397" s="112"/>
      <c r="N397" s="112"/>
      <c r="O397" s="112"/>
      <c r="P397" s="125"/>
      <c r="Q397" s="112"/>
      <c r="R397" s="112"/>
      <c r="S397" s="112"/>
      <c r="T397" s="112"/>
      <c r="U397" s="125"/>
    </row>
    <row r="398" spans="1:21">
      <c r="A398" s="168">
        <f ca="1">OFFSET('AFC Indiv. Fund Summary (Print)'!DpstsIndvTrstFndOrPtyCshAcct, 4, 1, 1, 1)</f>
        <v>0</v>
      </c>
      <c r="B398" s="162">
        <v>13</v>
      </c>
      <c r="C398" s="108">
        <f ca="1">IF(OFFSET('AFC Indiv. Fund Summary (Print)'!DpstsIndvTrstFndOrPtyCshAcct, 4, 2, 1, 1) =DATE(1900,1,0),DATE(1900,1,1),OFFSET('AFC Indiv. Fund Summary (Print)'!DpstsIndvTrstFndOrPtyCshAcct, 4, 2, 1, 1))</f>
        <v>1</v>
      </c>
      <c r="D398" s="166">
        <f ca="1">IF(OFFSET('AFC Indiv. Fund Summary (Print)'!DpstsIndvTrstFndOrPtyCshAcct, 4, 3, 1, 1)="",0, OFFSET('AFC Indiv. Fund Summary (Print)'!DpstsIndvTrstFndOrPtyCshAcct, 4, 3, 1, 1))</f>
        <v>0</v>
      </c>
      <c r="E398" s="124"/>
      <c r="F398" s="124"/>
      <c r="G398" s="124"/>
      <c r="H398" s="124"/>
      <c r="I398" s="136"/>
      <c r="J398" s="124"/>
      <c r="K398" s="124"/>
      <c r="L398" s="112"/>
      <c r="M398" s="112"/>
      <c r="N398" s="112"/>
      <c r="O398" s="112"/>
      <c r="P398" s="125"/>
      <c r="Q398" s="112"/>
      <c r="R398" s="112"/>
      <c r="S398" s="112"/>
      <c r="T398" s="112"/>
      <c r="U398" s="125"/>
    </row>
    <row r="399" spans="1:21">
      <c r="A399" s="168">
        <f ca="1">OFFSET('AFC Indiv. Fund Summary (Print)'!DpstsIndvTrstFndOrPtyCshAcct, 5, 1, 1, 1)</f>
        <v>0</v>
      </c>
      <c r="B399" s="162">
        <v>13</v>
      </c>
      <c r="C399" s="108">
        <f ca="1">IF(OFFSET('AFC Indiv. Fund Summary (Print)'!DpstsIndvTrstFndOrPtyCshAcct, 5, 2, 1, 1) =DATE(1900,1,0),DATE(1900,1,1),OFFSET('AFC Indiv. Fund Summary (Print)'!DpstsIndvTrstFndOrPtyCshAcct, 5, 2, 1, 1))</f>
        <v>1</v>
      </c>
      <c r="D399" s="166">
        <f ca="1">IF(OFFSET('AFC Indiv. Fund Summary (Print)'!DpstsIndvTrstFndOrPtyCshAcct, 5, 3, 1, 1)="",0, OFFSET('AFC Indiv. Fund Summary (Print)'!DpstsIndvTrstFndOrPtyCshAcct, 5, 3, 1, 1))</f>
        <v>0</v>
      </c>
      <c r="E399" s="124"/>
      <c r="F399" s="124"/>
      <c r="G399" s="124"/>
      <c r="H399" s="124"/>
      <c r="I399" s="136"/>
      <c r="J399" s="124"/>
      <c r="K399" s="124"/>
      <c r="L399" s="112"/>
      <c r="M399" s="112"/>
      <c r="N399" s="112"/>
      <c r="O399" s="112"/>
      <c r="P399" s="125"/>
      <c r="Q399" s="112"/>
      <c r="R399" s="112"/>
      <c r="S399" s="112"/>
      <c r="T399" s="112"/>
      <c r="U399" s="125"/>
    </row>
    <row r="400" spans="1:21">
      <c r="A400" s="168">
        <f ca="1">OFFSET('AFC Indiv. Fund Summary (Print)'!DpstsIndvTrstFndOrPtyCshAcct, 6, 1, 1, 1)</f>
        <v>0</v>
      </c>
      <c r="B400" s="162">
        <v>13</v>
      </c>
      <c r="C400" s="108">
        <f ca="1">IF(OFFSET('AFC Indiv. Fund Summary (Print)'!DpstsIndvTrstFndOrPtyCshAcct, 6, 2, 1, 1) =DATE(1900,1,0),DATE(1900,1,1),OFFSET('AFC Indiv. Fund Summary (Print)'!DpstsIndvTrstFndOrPtyCshAcct, 6, 2, 1, 1))</f>
        <v>1</v>
      </c>
      <c r="D400" s="166">
        <f ca="1">IF(OFFSET('AFC Indiv. Fund Summary (Print)'!DpstsIndvTrstFndOrPtyCshAcct, 6, 3, 1, 1)="",0, OFFSET('AFC Indiv. Fund Summary (Print)'!DpstsIndvTrstFndOrPtyCshAcct, 6, 3, 1, 1))</f>
        <v>0</v>
      </c>
      <c r="E400" s="124"/>
      <c r="F400" s="124"/>
      <c r="G400" s="124"/>
      <c r="H400" s="124"/>
      <c r="I400" s="136"/>
      <c r="J400" s="124"/>
      <c r="K400" s="124"/>
      <c r="L400" s="112"/>
      <c r="M400" s="112"/>
      <c r="N400" s="112"/>
      <c r="O400" s="112"/>
      <c r="P400" s="125"/>
      <c r="Q400" s="112"/>
      <c r="R400" s="112"/>
      <c r="S400" s="112"/>
      <c r="T400" s="112"/>
      <c r="U400" s="125"/>
    </row>
    <row r="401" spans="1:21" ht="15" thickBot="1">
      <c r="A401" s="169">
        <f ca="1">OFFSET('AFC Indiv. Fund Summary (Print)'!DpstsIndvTrstFndOrPtyCshAcct, 7, 1, 1, 1)</f>
        <v>0</v>
      </c>
      <c r="B401" s="163">
        <v>13</v>
      </c>
      <c r="C401" s="110">
        <f ca="1">IF(OFFSET('AFC Indiv. Fund Summary (Print)'!DpstsIndvTrstFndOrPtyCshAcct, 7, 2, 1, 1) =DATE(1900,1,0),DATE(1900,1,1),OFFSET('AFC Indiv. Fund Summary (Print)'!DpstsIndvTrstFndOrPtyCshAcct, 7, 2, 1, 1))</f>
        <v>1</v>
      </c>
      <c r="D401" s="167">
        <f ca="1">IF(OFFSET('AFC Indiv. Fund Summary (Print)'!DpstsIndvTrstFndOrPtyCshAcct, 7, 3, 1, 1)="",0, OFFSET('AFC Indiv. Fund Summary (Print)'!DpstsIndvTrstFndOrPtyCshAcct, 7, 3, 1, 1))</f>
        <v>0</v>
      </c>
      <c r="E401" s="124"/>
      <c r="F401" s="124"/>
      <c r="G401" s="124"/>
      <c r="H401" s="124"/>
      <c r="I401" s="136"/>
      <c r="J401" s="124"/>
      <c r="K401" s="124"/>
      <c r="L401" s="112"/>
      <c r="M401" s="112"/>
      <c r="N401" s="112"/>
      <c r="O401" s="112"/>
      <c r="P401" s="125"/>
      <c r="Q401" s="112"/>
      <c r="R401" s="112"/>
      <c r="S401" s="112"/>
      <c r="T401" s="112"/>
      <c r="U401" s="125"/>
    </row>
    <row r="402" spans="1:21">
      <c r="A402" s="135"/>
      <c r="B402" s="124"/>
      <c r="C402" s="124"/>
      <c r="D402" s="124"/>
      <c r="E402" s="124"/>
      <c r="F402" s="124"/>
      <c r="G402" s="124"/>
      <c r="H402" s="124"/>
      <c r="I402" s="136"/>
      <c r="J402" s="124"/>
      <c r="K402" s="124"/>
      <c r="L402" s="112"/>
      <c r="M402" s="112"/>
      <c r="N402" s="112"/>
      <c r="O402" s="112"/>
      <c r="P402" s="125"/>
      <c r="Q402" s="112"/>
      <c r="R402" s="112"/>
      <c r="S402" s="112"/>
      <c r="T402" s="112"/>
      <c r="U402" s="125"/>
    </row>
    <row r="403" spans="1:21" ht="15" thickBot="1">
      <c r="A403" s="135" t="s">
        <v>881</v>
      </c>
      <c r="B403" s="124"/>
      <c r="C403" s="124"/>
      <c r="D403" s="124"/>
      <c r="E403" s="124"/>
      <c r="F403" s="124"/>
      <c r="G403" s="124"/>
      <c r="H403" s="124"/>
      <c r="I403" s="136"/>
      <c r="J403" s="124"/>
      <c r="K403" s="124"/>
      <c r="L403" s="112"/>
      <c r="M403" s="112"/>
      <c r="N403" s="112"/>
      <c r="O403" s="112"/>
      <c r="P403" s="125"/>
      <c r="Q403" s="112"/>
      <c r="R403" s="112"/>
      <c r="S403" s="112"/>
      <c r="T403" s="112"/>
      <c r="U403" s="125"/>
    </row>
    <row r="404" spans="1:21">
      <c r="A404" s="129" t="s">
        <v>841</v>
      </c>
      <c r="B404" s="130" t="s">
        <v>831</v>
      </c>
      <c r="C404" s="130" t="s">
        <v>842</v>
      </c>
      <c r="D404" s="131" t="s">
        <v>151</v>
      </c>
      <c r="E404" s="124"/>
      <c r="F404" s="124"/>
      <c r="G404" s="124"/>
      <c r="H404" s="124"/>
      <c r="I404" s="136"/>
      <c r="J404" s="124"/>
      <c r="K404" s="124"/>
      <c r="L404" s="112"/>
      <c r="M404" s="112"/>
      <c r="N404" s="112"/>
      <c r="O404" s="112"/>
      <c r="P404" s="125"/>
      <c r="Q404" s="112"/>
      <c r="R404" s="112"/>
      <c r="S404" s="112"/>
      <c r="T404" s="112"/>
      <c r="U404" s="125"/>
    </row>
    <row r="405" spans="1:21">
      <c r="A405" s="168">
        <f ca="1">OFFSET('AFC Indiv. Fund Summary (Print)'!UnauthUndocWthdrwls, 0, 0, 1, 1)</f>
        <v>0</v>
      </c>
      <c r="B405" s="162">
        <f ca="1">OFFSET('AFC Indiv. Fund Summary (Print)'!UnauthUndocWthdrwls, 0, 1, 1, 1)</f>
        <v>0</v>
      </c>
      <c r="C405" s="108">
        <f ca="1">IF(OFFSET('AFC Indiv. Fund Summary (Print)'!UnauthUndocWthdrwls, 0, 2, 1, 1) =DATE(1900,1,0),DATE(1900,1,1),OFFSET('AFC Indiv. Fund Summary (Print)'!UnauthUndocWthdrwls, 0, 2, 1, 1))</f>
        <v>1</v>
      </c>
      <c r="D405" s="166">
        <f ca="1">IF(OFFSET('AFC Indiv. Fund Summary (Print)'!UnauthUndocWthdrwls,0,3,1,1)="",0,OFFSET('AFC Indiv. Fund Summary (Print)'!UnauthUndocWthdrwls,0,3,1,1))</f>
        <v>0</v>
      </c>
      <c r="E405" s="124"/>
      <c r="F405" s="124"/>
      <c r="G405" s="124"/>
      <c r="H405" s="124"/>
      <c r="I405" s="136"/>
      <c r="J405" s="124"/>
      <c r="K405" s="124"/>
      <c r="L405" s="112"/>
      <c r="M405" s="112"/>
      <c r="N405" s="112"/>
      <c r="O405" s="112"/>
      <c r="P405" s="125"/>
      <c r="Q405" s="112"/>
      <c r="R405" s="112"/>
      <c r="S405" s="112"/>
      <c r="T405" s="112"/>
      <c r="U405" s="125"/>
    </row>
    <row r="406" spans="1:21">
      <c r="A406" s="168">
        <f ca="1">OFFSET('AFC Indiv. Fund Summary (Print)'!UnauthUndocWthdrwls, 1, 0, 1, 1)</f>
        <v>0</v>
      </c>
      <c r="B406" s="162">
        <f ca="1">OFFSET('AFC Indiv. Fund Summary (Print)'!UnauthUndocWthdrwls, 1, 1, 1, 1)</f>
        <v>0</v>
      </c>
      <c r="C406" s="108">
        <f ca="1">IF(OFFSET('AFC Indiv. Fund Summary (Print)'!UnauthUndocWthdrwls, 1, 2, 1, 1) =DATE(1900,1,0),DATE(1900,1,1),OFFSET('AFC Indiv. Fund Summary (Print)'!UnauthUndocWthdrwls, 1, 2, 1, 1))</f>
        <v>1</v>
      </c>
      <c r="D406" s="166">
        <f ca="1">IF(OFFSET('AFC Indiv. Fund Summary (Print)'!UnauthUndocWthdrwls,1,3,1,1)="",0,OFFSET('AFC Indiv. Fund Summary (Print)'!UnauthUndocWthdrwls,1,3,1,1))</f>
        <v>0</v>
      </c>
      <c r="E406" s="124"/>
      <c r="F406" s="124"/>
      <c r="G406" s="124"/>
      <c r="H406" s="124"/>
      <c r="I406" s="136"/>
      <c r="J406" s="124"/>
      <c r="K406" s="124"/>
      <c r="L406" s="112"/>
      <c r="M406" s="112"/>
      <c r="N406" s="112"/>
      <c r="O406" s="112"/>
      <c r="P406" s="125"/>
      <c r="Q406" s="112"/>
      <c r="R406" s="112"/>
      <c r="S406" s="112"/>
      <c r="T406" s="112"/>
      <c r="U406" s="125"/>
    </row>
    <row r="407" spans="1:21">
      <c r="A407" s="168">
        <f ca="1">OFFSET('AFC Indiv. Fund Summary (Print)'!UnauthUndocWthdrwls, 2, 0, 1, 1)</f>
        <v>0</v>
      </c>
      <c r="B407" s="162">
        <f ca="1">OFFSET('AFC Indiv. Fund Summary (Print)'!UnauthUndocWthdrwls, 2, 1, 1, 1)</f>
        <v>0</v>
      </c>
      <c r="C407" s="108">
        <f ca="1">IF(OFFSET('AFC Indiv. Fund Summary (Print)'!UnauthUndocWthdrwls, 2, 2, 1, 1) =DATE(1900,1,0),DATE(1900,1,1),OFFSET('AFC Indiv. Fund Summary (Print)'!UnauthUndocWthdrwls, 2, 2, 1, 1))</f>
        <v>1</v>
      </c>
      <c r="D407" s="166">
        <f ca="1">IF(OFFSET('AFC Indiv. Fund Summary (Print)'!UnauthUndocWthdrwls,2,3,1,1)="",0,OFFSET('AFC Indiv. Fund Summary (Print)'!UnauthUndocWthdrwls,2,3,1,1))</f>
        <v>0</v>
      </c>
      <c r="E407" s="124"/>
      <c r="F407" s="124"/>
      <c r="G407" s="124"/>
      <c r="H407" s="124"/>
      <c r="I407" s="136"/>
      <c r="J407" s="124"/>
      <c r="K407" s="124"/>
      <c r="L407" s="112"/>
      <c r="M407" s="112"/>
      <c r="N407" s="112"/>
      <c r="O407" s="112"/>
      <c r="P407" s="125"/>
      <c r="Q407" s="112"/>
      <c r="R407" s="112"/>
      <c r="S407" s="112"/>
      <c r="T407" s="112"/>
      <c r="U407" s="125"/>
    </row>
    <row r="408" spans="1:21">
      <c r="A408" s="168">
        <f ca="1">OFFSET('AFC Indiv. Fund Summary (Print)'!UnauthUndocWthdrwls, 3, 0, 1, 1)</f>
        <v>0</v>
      </c>
      <c r="B408" s="162">
        <f ca="1">OFFSET('AFC Indiv. Fund Summary (Print)'!UnauthUndocWthdrwls, 3, 1, 1, 1)</f>
        <v>0</v>
      </c>
      <c r="C408" s="108">
        <f ca="1">IF(OFFSET('AFC Indiv. Fund Summary (Print)'!UnauthUndocWthdrwls, 3, 2, 1, 1) =DATE(1900,1,0),DATE(1900,1,1),OFFSET('AFC Indiv. Fund Summary (Print)'!UnauthUndocWthdrwls, 3, 2, 1, 1))</f>
        <v>1</v>
      </c>
      <c r="D408" s="166">
        <f ca="1">IF(OFFSET('AFC Indiv. Fund Summary (Print)'!UnauthUndocWthdrwls,3,3,1,1)="",0,OFFSET('AFC Indiv. Fund Summary (Print)'!UnauthUndocWthdrwls,3,3,1,1))</f>
        <v>0</v>
      </c>
      <c r="E408" s="124"/>
      <c r="F408" s="124"/>
      <c r="G408" s="124"/>
      <c r="H408" s="124"/>
      <c r="I408" s="136"/>
      <c r="J408" s="124"/>
      <c r="K408" s="124"/>
      <c r="L408" s="112"/>
      <c r="M408" s="112"/>
      <c r="N408" s="112"/>
      <c r="O408" s="112"/>
      <c r="P408" s="125"/>
      <c r="Q408" s="112"/>
      <c r="R408" s="112"/>
      <c r="S408" s="112"/>
      <c r="T408" s="112"/>
      <c r="U408" s="125"/>
    </row>
    <row r="409" spans="1:21">
      <c r="A409" s="168">
        <f ca="1">OFFSET('AFC Indiv. Fund Summary (Print)'!UnauthUndocWthdrwls, 4, 0, 1, 1)</f>
        <v>0</v>
      </c>
      <c r="B409" s="162">
        <f ca="1">OFFSET('AFC Indiv. Fund Summary (Print)'!UnauthUndocWthdrwls, 4, 1, 1, 1)</f>
        <v>0</v>
      </c>
      <c r="C409" s="108">
        <f ca="1">IF(OFFSET('AFC Indiv. Fund Summary (Print)'!UnauthUndocWthdrwls, 4, 2, 1, 1) =DATE(1900,1,0),DATE(1900,1,1),OFFSET('AFC Indiv. Fund Summary (Print)'!UnauthUndocWthdrwls, 4, 2, 1, 1))</f>
        <v>1</v>
      </c>
      <c r="D409" s="166">
        <f ca="1">IF(OFFSET('AFC Indiv. Fund Summary (Print)'!UnauthUndocWthdrwls,4,3,1,1)="",0,OFFSET('AFC Indiv. Fund Summary (Print)'!UnauthUndocWthdrwls,4,3,1,1))</f>
        <v>0</v>
      </c>
      <c r="E409" s="124"/>
      <c r="F409" s="124"/>
      <c r="G409" s="124"/>
      <c r="H409" s="124"/>
      <c r="I409" s="136"/>
      <c r="J409" s="124"/>
      <c r="K409" s="124"/>
      <c r="L409" s="112"/>
      <c r="M409" s="112"/>
      <c r="N409" s="112"/>
      <c r="O409" s="112"/>
      <c r="P409" s="125"/>
      <c r="Q409" s="112"/>
      <c r="R409" s="112"/>
      <c r="S409" s="112"/>
      <c r="T409" s="112"/>
      <c r="U409" s="125"/>
    </row>
    <row r="410" spans="1:21">
      <c r="A410" s="168">
        <f ca="1">OFFSET('AFC Indiv. Fund Summary (Print)'!UnauthUndocWthdrwls, 5, 0, 1, 1)</f>
        <v>0</v>
      </c>
      <c r="B410" s="162">
        <f ca="1">OFFSET('AFC Indiv. Fund Summary (Print)'!UnauthUndocWthdrwls, 5, 1, 1, 1)</f>
        <v>0</v>
      </c>
      <c r="C410" s="108">
        <f ca="1">IF(OFFSET('AFC Indiv. Fund Summary (Print)'!UnauthUndocWthdrwls, 5, 2, 1, 1) =DATE(1900,1,0),DATE(1900,1,1),OFFSET('AFC Indiv. Fund Summary (Print)'!UnauthUndocWthdrwls, 5, 2, 1, 1))</f>
        <v>1</v>
      </c>
      <c r="D410" s="166">
        <f ca="1">IF(OFFSET('AFC Indiv. Fund Summary (Print)'!UnauthUndocWthdrwls,5,3,1,1)="",0,OFFSET('AFC Indiv. Fund Summary (Print)'!UnauthUndocWthdrwls,5,3,1,1))</f>
        <v>0</v>
      </c>
      <c r="E410" s="124"/>
      <c r="F410" s="124"/>
      <c r="G410" s="124"/>
      <c r="H410" s="124"/>
      <c r="I410" s="136"/>
      <c r="J410" s="124"/>
      <c r="K410" s="124"/>
      <c r="L410" s="112"/>
      <c r="M410" s="112"/>
      <c r="N410" s="112"/>
      <c r="O410" s="112"/>
      <c r="P410" s="125"/>
      <c r="Q410" s="112"/>
      <c r="R410" s="112"/>
      <c r="S410" s="112"/>
      <c r="T410" s="112"/>
      <c r="U410" s="125"/>
    </row>
    <row r="411" spans="1:21">
      <c r="A411" s="168">
        <f ca="1">OFFSET('AFC Indiv. Fund Summary (Print)'!UnauthUndocWthdrwls, 6, 0, 1, 1)</f>
        <v>0</v>
      </c>
      <c r="B411" s="162">
        <f ca="1">OFFSET('AFC Indiv. Fund Summary (Print)'!UnauthUndocWthdrwls, 6, 1, 1, 1)</f>
        <v>0</v>
      </c>
      <c r="C411" s="108">
        <f ca="1">IF(OFFSET('AFC Indiv. Fund Summary (Print)'!UnauthUndocWthdrwls, 6, 2, 1, 1) =DATE(1900,1,0),DATE(1900,1,1),OFFSET('AFC Indiv. Fund Summary (Print)'!UnauthUndocWthdrwls, 6, 2, 1, 1))</f>
        <v>1</v>
      </c>
      <c r="D411" s="166">
        <f ca="1">IF(OFFSET('AFC Indiv. Fund Summary (Print)'!UnauthUndocWthdrwls,6,3,1,1)="",0,OFFSET('AFC Indiv. Fund Summary (Print)'!UnauthUndocWthdrwls,6,3,1,1))</f>
        <v>0</v>
      </c>
      <c r="E411" s="124"/>
      <c r="F411" s="124"/>
      <c r="G411" s="124"/>
      <c r="H411" s="124"/>
      <c r="I411" s="136"/>
      <c r="J411" s="124"/>
      <c r="K411" s="124"/>
      <c r="L411" s="112"/>
      <c r="M411" s="112"/>
      <c r="N411" s="112"/>
      <c r="O411" s="112"/>
      <c r="P411" s="125"/>
      <c r="Q411" s="112"/>
      <c r="R411" s="112"/>
      <c r="S411" s="112"/>
      <c r="T411" s="112"/>
      <c r="U411" s="125"/>
    </row>
    <row r="412" spans="1:21">
      <c r="A412" s="168">
        <f ca="1">OFFSET('AFC Indiv. Fund Summary (Print)'!UnauthUndocWthdrwls, 7, 0, 1, 1)</f>
        <v>0</v>
      </c>
      <c r="B412" s="162">
        <f ca="1">OFFSET('AFC Indiv. Fund Summary (Print)'!UnauthUndocWthdrwls, 7, 1, 1, 1)</f>
        <v>0</v>
      </c>
      <c r="C412" s="108">
        <f ca="1">IF(OFFSET('AFC Indiv. Fund Summary (Print)'!UnauthUndocWthdrwls, 7, 2, 1, 1) =DATE(1900,1,0),DATE(1900,1,1),OFFSET('AFC Indiv. Fund Summary (Print)'!UnauthUndocWthdrwls, 7, 2, 1, 1))</f>
        <v>1</v>
      </c>
      <c r="D412" s="166">
        <f ca="1">IF(OFFSET('AFC Indiv. Fund Summary (Print)'!UnauthUndocWthdrwls,7,3,1,1)="",0,OFFSET('AFC Indiv. Fund Summary (Print)'!UnauthUndocWthdrwls,7,3,1,1))</f>
        <v>0</v>
      </c>
      <c r="E412" s="124"/>
      <c r="F412" s="124"/>
      <c r="G412" s="124"/>
      <c r="H412" s="124"/>
      <c r="I412" s="136"/>
      <c r="J412" s="124"/>
      <c r="K412" s="124"/>
      <c r="L412" s="112"/>
      <c r="M412" s="112"/>
      <c r="N412" s="112"/>
      <c r="O412" s="112"/>
      <c r="P412" s="125"/>
      <c r="Q412" s="112"/>
      <c r="R412" s="112"/>
      <c r="S412" s="112"/>
      <c r="T412" s="112"/>
      <c r="U412" s="125"/>
    </row>
    <row r="413" spans="1:21">
      <c r="A413" s="168">
        <f ca="1">OFFSET('AFC Indiv. Fund Summary (Print)'!UnauthUndocWthdrwls, 0, 5, 1, 1)</f>
        <v>0</v>
      </c>
      <c r="B413" s="162">
        <f ca="1">OFFSET('AFC Indiv. Fund Summary (Print)'!UnauthUndocWthdrwls, 0, 6, 1, 1)</f>
        <v>0</v>
      </c>
      <c r="C413" s="108">
        <f ca="1">IF(OFFSET('AFC Indiv. Fund Summary (Print)'!UnauthUndocWthdrwls, 0, 7, 1, 1) =DATE(1900,1,0),DATE(1900,1,1),OFFSET('AFC Indiv. Fund Summary (Print)'!UnauthUndocWthdrwls, 0, 7, 1, 1))</f>
        <v>1</v>
      </c>
      <c r="D413" s="166">
        <f ca="1">IF(OFFSET('AFC Indiv. Fund Summary (Print)'!UnauthUndocWthdrwls,0,8,1,1)="",0,OFFSET('AFC Indiv. Fund Summary (Print)'!UnauthUndocWthdrwls,0,8,1,1))</f>
        <v>0</v>
      </c>
      <c r="E413" s="124"/>
      <c r="F413" s="124"/>
      <c r="G413" s="124"/>
      <c r="H413" s="124"/>
      <c r="I413" s="136"/>
      <c r="J413" s="124"/>
      <c r="K413" s="124"/>
      <c r="L413" s="112"/>
      <c r="M413" s="112"/>
      <c r="N413" s="112"/>
      <c r="O413" s="112"/>
      <c r="P413" s="125"/>
      <c r="Q413" s="112"/>
      <c r="R413" s="112"/>
      <c r="S413" s="112"/>
      <c r="T413" s="112"/>
      <c r="U413" s="125"/>
    </row>
    <row r="414" spans="1:21">
      <c r="A414" s="168">
        <f ca="1">OFFSET('AFC Indiv. Fund Summary (Print)'!UnauthUndocWthdrwls, 1, 5, 1, 1)</f>
        <v>0</v>
      </c>
      <c r="B414" s="162">
        <f ca="1">OFFSET('AFC Indiv. Fund Summary (Print)'!UnauthUndocWthdrwls, 1, 6, 1, 1)</f>
        <v>0</v>
      </c>
      <c r="C414" s="108">
        <f ca="1">IF(OFFSET('AFC Indiv. Fund Summary (Print)'!UnauthUndocWthdrwls, 1, 7, 1, 1) =DATE(1900,1,0),DATE(1900,1,1),OFFSET('AFC Indiv. Fund Summary (Print)'!UnauthUndocWthdrwls, 1, 7, 1, 1))</f>
        <v>1</v>
      </c>
      <c r="D414" s="166">
        <f ca="1">IF(OFFSET('AFC Indiv. Fund Summary (Print)'!UnauthUndocWthdrwls,1,8,1,1)="",0,OFFSET('AFC Indiv. Fund Summary (Print)'!UnauthUndocWthdrwls,1,8,1,1))</f>
        <v>0</v>
      </c>
      <c r="E414" s="124"/>
      <c r="F414" s="124"/>
      <c r="G414" s="124"/>
      <c r="H414" s="124"/>
      <c r="I414" s="136"/>
      <c r="J414" s="124"/>
      <c r="K414" s="124"/>
      <c r="L414" s="112"/>
      <c r="M414" s="112"/>
      <c r="N414" s="112"/>
      <c r="O414" s="112"/>
      <c r="P414" s="125"/>
      <c r="Q414" s="112"/>
      <c r="R414" s="112"/>
      <c r="S414" s="112"/>
      <c r="T414" s="112"/>
      <c r="U414" s="125"/>
    </row>
    <row r="415" spans="1:21">
      <c r="A415" s="168">
        <f ca="1">OFFSET('AFC Indiv. Fund Summary (Print)'!UnauthUndocWthdrwls, 2, 5, 1, 1)</f>
        <v>0</v>
      </c>
      <c r="B415" s="162">
        <f ca="1">OFFSET('AFC Indiv. Fund Summary (Print)'!UnauthUndocWthdrwls, 2, 6, 1, 1)</f>
        <v>0</v>
      </c>
      <c r="C415" s="108">
        <f ca="1">IF(OFFSET('AFC Indiv. Fund Summary (Print)'!UnauthUndocWthdrwls, 2, 7, 1, 1) =DATE(1900,1,0),DATE(1900,1,1),OFFSET('AFC Indiv. Fund Summary (Print)'!UnauthUndocWthdrwls, 2, 7, 1, 1))</f>
        <v>1</v>
      </c>
      <c r="D415" s="166">
        <f ca="1">IF(OFFSET('AFC Indiv. Fund Summary (Print)'!UnauthUndocWthdrwls,2,8,1,1)="",0,OFFSET('AFC Indiv. Fund Summary (Print)'!UnauthUndocWthdrwls,2,8,1,1))</f>
        <v>0</v>
      </c>
      <c r="E415" s="124"/>
      <c r="F415" s="124"/>
      <c r="G415" s="124"/>
      <c r="H415" s="124"/>
      <c r="I415" s="136"/>
      <c r="J415" s="124"/>
      <c r="K415" s="124"/>
      <c r="L415" s="112"/>
      <c r="M415" s="112"/>
      <c r="N415" s="112"/>
      <c r="O415" s="112"/>
      <c r="P415" s="125"/>
      <c r="Q415" s="112"/>
      <c r="R415" s="112"/>
      <c r="S415" s="112"/>
      <c r="T415" s="112"/>
      <c r="U415" s="125"/>
    </row>
    <row r="416" spans="1:21">
      <c r="A416" s="168">
        <f ca="1">OFFSET('AFC Indiv. Fund Summary (Print)'!UnauthUndocWthdrwls, 3, 5, 1, 1)</f>
        <v>0</v>
      </c>
      <c r="B416" s="162">
        <f ca="1">OFFSET('AFC Indiv. Fund Summary (Print)'!UnauthUndocWthdrwls, 3, 6, 1, 1)</f>
        <v>0</v>
      </c>
      <c r="C416" s="108">
        <f ca="1">IF(OFFSET('AFC Indiv. Fund Summary (Print)'!UnauthUndocWthdrwls, 3, 7, 1, 1) =DATE(1900,1,0),DATE(1900,1,1),OFFSET('AFC Indiv. Fund Summary (Print)'!UnauthUndocWthdrwls, 3, 7, 1, 1))</f>
        <v>1</v>
      </c>
      <c r="D416" s="166">
        <f ca="1">IF(OFFSET('AFC Indiv. Fund Summary (Print)'!UnauthUndocWthdrwls,3,8,1,1)="",0,OFFSET('AFC Indiv. Fund Summary (Print)'!UnauthUndocWthdrwls,3,8,1,1))</f>
        <v>0</v>
      </c>
      <c r="E416" s="124"/>
      <c r="F416" s="124"/>
      <c r="G416" s="124"/>
      <c r="H416" s="124"/>
      <c r="I416" s="136"/>
      <c r="J416" s="124"/>
      <c r="K416" s="124"/>
      <c r="L416" s="112"/>
      <c r="M416" s="112"/>
      <c r="N416" s="112"/>
      <c r="O416" s="112"/>
      <c r="P416" s="125"/>
      <c r="Q416" s="112"/>
      <c r="R416" s="112"/>
      <c r="S416" s="112"/>
      <c r="T416" s="112"/>
      <c r="U416" s="125"/>
    </row>
    <row r="417" spans="1:21">
      <c r="A417" s="168">
        <f ca="1">OFFSET('AFC Indiv. Fund Summary (Print)'!UnauthUndocWthdrwls, 4, 5, 1, 1)</f>
        <v>0</v>
      </c>
      <c r="B417" s="162">
        <f ca="1">OFFSET('AFC Indiv. Fund Summary (Print)'!UnauthUndocWthdrwls, 4, 6, 1, 1)</f>
        <v>0</v>
      </c>
      <c r="C417" s="108">
        <f ca="1">IF(OFFSET('AFC Indiv. Fund Summary (Print)'!UnauthUndocWthdrwls, 4, 7, 1, 1) =DATE(1900,1,0),DATE(1900,1,1),OFFSET('AFC Indiv. Fund Summary (Print)'!UnauthUndocWthdrwls, 4, 7, 1, 1))</f>
        <v>1</v>
      </c>
      <c r="D417" s="166">
        <f ca="1">IF(OFFSET('AFC Indiv. Fund Summary (Print)'!UnauthUndocWthdrwls,4,8,1,1)="",0,OFFSET('AFC Indiv. Fund Summary (Print)'!UnauthUndocWthdrwls,4,8,1,1))</f>
        <v>0</v>
      </c>
      <c r="E417" s="124"/>
      <c r="F417" s="124"/>
      <c r="G417" s="124"/>
      <c r="H417" s="124"/>
      <c r="I417" s="136"/>
      <c r="J417" s="124"/>
      <c r="K417" s="124"/>
      <c r="L417" s="112"/>
      <c r="M417" s="112"/>
      <c r="N417" s="112"/>
      <c r="O417" s="112"/>
      <c r="P417" s="125"/>
      <c r="Q417" s="112"/>
      <c r="R417" s="112"/>
      <c r="S417" s="112"/>
      <c r="T417" s="112"/>
      <c r="U417" s="125"/>
    </row>
    <row r="418" spans="1:21">
      <c r="A418" s="168">
        <f ca="1">OFFSET('AFC Indiv. Fund Summary (Print)'!UnauthUndocWthdrwls, 5, 5, 1, 1)</f>
        <v>0</v>
      </c>
      <c r="B418" s="162">
        <f ca="1">OFFSET('AFC Indiv. Fund Summary (Print)'!UnauthUndocWthdrwls, 5, 6, 1, 1)</f>
        <v>0</v>
      </c>
      <c r="C418" s="108">
        <f ca="1">IF(OFFSET('AFC Indiv. Fund Summary (Print)'!UnauthUndocWthdrwls, 5, 7, 1, 1) =DATE(1900,1,0),DATE(1900,1,1),OFFSET('AFC Indiv. Fund Summary (Print)'!UnauthUndocWthdrwls, 5, 7, 1, 1))</f>
        <v>1</v>
      </c>
      <c r="D418" s="166">
        <f ca="1">IF(OFFSET('AFC Indiv. Fund Summary (Print)'!UnauthUndocWthdrwls,5,8,1,1)="",0,OFFSET('AFC Indiv. Fund Summary (Print)'!UnauthUndocWthdrwls,5,8,1,1))</f>
        <v>0</v>
      </c>
      <c r="E418" s="124"/>
      <c r="F418" s="124"/>
      <c r="G418" s="124"/>
      <c r="H418" s="124"/>
      <c r="I418" s="136"/>
      <c r="J418" s="124"/>
      <c r="K418" s="124"/>
      <c r="L418" s="112"/>
      <c r="M418" s="112"/>
      <c r="N418" s="112"/>
      <c r="O418" s="112"/>
      <c r="P418" s="125"/>
      <c r="Q418" s="112"/>
      <c r="R418" s="112"/>
      <c r="S418" s="112"/>
      <c r="T418" s="112"/>
      <c r="U418" s="125"/>
    </row>
    <row r="419" spans="1:21">
      <c r="A419" s="168">
        <f ca="1">OFFSET('AFC Indiv. Fund Summary (Print)'!UnauthUndocWthdrwls, 6, 5, 1, 1)</f>
        <v>0</v>
      </c>
      <c r="B419" s="162">
        <f ca="1">OFFSET('AFC Indiv. Fund Summary (Print)'!UnauthUndocWthdrwls, 6, 6, 1, 1)</f>
        <v>0</v>
      </c>
      <c r="C419" s="108">
        <f ca="1">IF(OFFSET('AFC Indiv. Fund Summary (Print)'!UnauthUndocWthdrwls, 6, 7, 1, 1) =DATE(1900,1,0),DATE(1900,1,1),OFFSET('AFC Indiv. Fund Summary (Print)'!UnauthUndocWthdrwls, 6, 7, 1, 1))</f>
        <v>1</v>
      </c>
      <c r="D419" s="166">
        <f ca="1">IF(OFFSET('AFC Indiv. Fund Summary (Print)'!UnauthUndocWthdrwls,6,8,1,1)="",0,OFFSET('AFC Indiv. Fund Summary (Print)'!UnauthUndocWthdrwls,6,8,1,1))</f>
        <v>0</v>
      </c>
      <c r="E419" s="124"/>
      <c r="F419" s="124"/>
      <c r="G419" s="124"/>
      <c r="H419" s="124"/>
      <c r="I419" s="136"/>
      <c r="J419" s="124"/>
      <c r="K419" s="124"/>
      <c r="L419" s="112"/>
      <c r="M419" s="112"/>
      <c r="N419" s="112"/>
      <c r="O419" s="112"/>
      <c r="P419" s="125"/>
      <c r="Q419" s="112"/>
      <c r="R419" s="112"/>
      <c r="S419" s="112"/>
      <c r="T419" s="112"/>
      <c r="U419" s="125"/>
    </row>
    <row r="420" spans="1:21" ht="15" thickBot="1">
      <c r="A420" s="169">
        <f ca="1">OFFSET('AFC Indiv. Fund Summary (Print)'!UnauthUndocWthdrwls, 7, 5, 1, 1)</f>
        <v>0</v>
      </c>
      <c r="B420" s="163">
        <f ca="1">OFFSET('AFC Indiv. Fund Summary (Print)'!UnauthUndocWthdrwls, 7, 6, 1, 1)</f>
        <v>0</v>
      </c>
      <c r="C420" s="110">
        <f ca="1">IF(OFFSET('AFC Indiv. Fund Summary (Print)'!UnauthUndocWthdrwls, 7, 7, 1, 1) =DATE(1900,1,0),DATE(1900,1,1),OFFSET('AFC Indiv. Fund Summary (Print)'!UnauthUndocWthdrwls, 7, 7, 1, 1))</f>
        <v>1</v>
      </c>
      <c r="D420" s="167">
        <f ca="1">IF(OFFSET('AFC Indiv. Fund Summary (Print)'!UnauthUndocWthdrwls,7,8,1,1)="",0,OFFSET('AFC Indiv. Fund Summary (Print)'!UnauthUndocWthdrwls,7,8,1,1))</f>
        <v>0</v>
      </c>
      <c r="E420" s="124"/>
      <c r="F420" s="124"/>
      <c r="G420" s="124"/>
      <c r="H420" s="124"/>
      <c r="I420" s="136"/>
      <c r="J420" s="124"/>
      <c r="K420" s="124"/>
      <c r="L420" s="112"/>
      <c r="M420" s="112"/>
      <c r="N420" s="112"/>
      <c r="O420" s="112"/>
      <c r="P420" s="125"/>
      <c r="Q420" s="112"/>
      <c r="R420" s="112"/>
      <c r="S420" s="112"/>
      <c r="T420" s="112"/>
      <c r="U420" s="125"/>
    </row>
    <row r="421" spans="1:21">
      <c r="A421" s="135"/>
      <c r="B421" s="124"/>
      <c r="C421" s="124"/>
      <c r="D421" s="124"/>
      <c r="E421" s="124"/>
      <c r="F421" s="124"/>
      <c r="G421" s="124"/>
      <c r="H421" s="124"/>
      <c r="I421" s="136"/>
      <c r="J421" s="124"/>
      <c r="K421" s="124"/>
      <c r="L421" s="112"/>
      <c r="M421" s="112"/>
      <c r="N421" s="112"/>
      <c r="O421" s="112"/>
      <c r="P421" s="125"/>
      <c r="Q421" s="112"/>
      <c r="R421" s="112"/>
      <c r="S421" s="112"/>
      <c r="T421" s="112"/>
      <c r="U421" s="125"/>
    </row>
    <row r="422" spans="1:21" ht="15" thickBot="1">
      <c r="A422" s="135" t="s">
        <v>882</v>
      </c>
      <c r="B422" s="124"/>
      <c r="C422" s="124"/>
      <c r="D422" s="124"/>
      <c r="E422" s="124"/>
      <c r="F422" s="124"/>
      <c r="G422" s="124"/>
      <c r="H422" s="124"/>
      <c r="I422" s="136"/>
      <c r="J422" s="124"/>
      <c r="K422" s="124"/>
      <c r="L422" s="112"/>
      <c r="M422" s="112"/>
      <c r="N422" s="112"/>
      <c r="O422" s="112"/>
      <c r="P422" s="125"/>
      <c r="Q422" s="112"/>
      <c r="R422" s="112"/>
      <c r="S422" s="112"/>
      <c r="T422" s="112"/>
      <c r="U422" s="125"/>
    </row>
    <row r="423" spans="1:21">
      <c r="A423" s="129" t="s">
        <v>841</v>
      </c>
      <c r="B423" s="130" t="s">
        <v>831</v>
      </c>
      <c r="C423" s="130" t="s">
        <v>842</v>
      </c>
      <c r="D423" s="131" t="s">
        <v>151</v>
      </c>
      <c r="E423" s="124"/>
      <c r="F423" s="124"/>
      <c r="G423" s="124"/>
      <c r="H423" s="124"/>
      <c r="I423" s="136"/>
      <c r="J423" s="124"/>
      <c r="K423" s="124"/>
      <c r="L423" s="112"/>
      <c r="M423" s="112"/>
      <c r="N423" s="112"/>
      <c r="O423" s="112"/>
      <c r="P423" s="125"/>
      <c r="Q423" s="112"/>
      <c r="R423" s="112"/>
      <c r="S423" s="112"/>
      <c r="T423" s="112"/>
      <c r="U423" s="125"/>
    </row>
    <row r="424" spans="1:21">
      <c r="A424" s="168">
        <f ca="1">OFFSET('AFC Indiv. Fund Summary (Print)'!UnallwblWthdrwls, 0, 0, 1, 1)</f>
        <v>0</v>
      </c>
      <c r="B424" s="162">
        <f ca="1">OFFSET('AFC Indiv. Fund Summary (Print)'!UnallwblWthdrwls, 0, 1, 1, 1)</f>
        <v>0</v>
      </c>
      <c r="C424" s="108">
        <f ca="1">IF(OFFSET('AFC Indiv. Fund Summary (Print)'!UnallwblWthdrwls, 0, 2, 1, 1) =DATE(1900,1,0),DATE(1900,1,1),OFFSET('AFC Indiv. Fund Summary (Print)'!UnallwblWthdrwls, 0, 2, 1, 1))</f>
        <v>1</v>
      </c>
      <c r="D424" s="166">
        <f ca="1">IF(OFFSET('AFC Indiv. Fund Summary (Print)'!UnallwblWthdrwls,0,3,1,1)="",0,OFFSET('AFC Indiv. Fund Summary (Print)'!UnallwblWthdrwls,0,3,1,1))</f>
        <v>0</v>
      </c>
      <c r="E424" s="124"/>
      <c r="F424" s="124"/>
      <c r="G424" s="124"/>
      <c r="H424" s="124"/>
      <c r="I424" s="136"/>
      <c r="J424" s="124"/>
      <c r="K424" s="124"/>
      <c r="L424" s="112"/>
      <c r="M424" s="112"/>
      <c r="N424" s="112"/>
      <c r="O424" s="112"/>
      <c r="P424" s="125"/>
      <c r="Q424" s="112"/>
      <c r="R424" s="112"/>
      <c r="S424" s="112"/>
      <c r="T424" s="112"/>
      <c r="U424" s="125"/>
    </row>
    <row r="425" spans="1:21">
      <c r="A425" s="168">
        <f ca="1">OFFSET('AFC Indiv. Fund Summary (Print)'!UnallwblWthdrwls, 1, 0, 1, 1)</f>
        <v>0</v>
      </c>
      <c r="B425" s="162">
        <f ca="1">OFFSET('AFC Indiv. Fund Summary (Print)'!UnallwblWthdrwls, 1, 1, 1, 1)</f>
        <v>0</v>
      </c>
      <c r="C425" s="108">
        <f ca="1">IF(OFFSET('AFC Indiv. Fund Summary (Print)'!UnallwblWthdrwls, 1, 2, 1, 1) =DATE(1900,1,0),DATE(1900,1,1),OFFSET('AFC Indiv. Fund Summary (Print)'!UnallwblWthdrwls, 1, 2, 1, 1))</f>
        <v>1</v>
      </c>
      <c r="D425" s="166">
        <f ca="1">IF(OFFSET('AFC Indiv. Fund Summary (Print)'!UnallwblWthdrwls,1,3,1,1)="",0,OFFSET('AFC Indiv. Fund Summary (Print)'!UnallwblWthdrwls,1,3,1,1))</f>
        <v>0</v>
      </c>
      <c r="E425" s="124"/>
      <c r="F425" s="124"/>
      <c r="G425" s="124"/>
      <c r="H425" s="124"/>
      <c r="I425" s="136"/>
      <c r="J425" s="124"/>
      <c r="K425" s="124"/>
      <c r="L425" s="112"/>
      <c r="M425" s="112"/>
      <c r="N425" s="112"/>
      <c r="O425" s="112"/>
      <c r="P425" s="125"/>
      <c r="Q425" s="112"/>
      <c r="R425" s="112"/>
      <c r="S425" s="112"/>
      <c r="T425" s="112"/>
      <c r="U425" s="125"/>
    </row>
    <row r="426" spans="1:21">
      <c r="A426" s="168">
        <f ca="1">OFFSET('AFC Indiv. Fund Summary (Print)'!UnallwblWthdrwls, 2, 0, 1, 1)</f>
        <v>0</v>
      </c>
      <c r="B426" s="162">
        <f ca="1">OFFSET('AFC Indiv. Fund Summary (Print)'!UnallwblWthdrwls, 2, 1, 1, 1)</f>
        <v>0</v>
      </c>
      <c r="C426" s="108">
        <f ca="1">IF(OFFSET('AFC Indiv. Fund Summary (Print)'!UnallwblWthdrwls, 2, 2, 1, 1) =DATE(1900,1,0),DATE(1900,1,1),OFFSET('AFC Indiv. Fund Summary (Print)'!UnallwblWthdrwls, 2, 2, 1, 1))</f>
        <v>1</v>
      </c>
      <c r="D426" s="166">
        <f ca="1">IF(OFFSET('AFC Indiv. Fund Summary (Print)'!UnallwblWthdrwls,2,3,1,1)="",0,OFFSET('AFC Indiv. Fund Summary (Print)'!UnallwblWthdrwls,2,3,1,1))</f>
        <v>0</v>
      </c>
      <c r="E426" s="124"/>
      <c r="F426" s="124"/>
      <c r="G426" s="124"/>
      <c r="H426" s="124"/>
      <c r="I426" s="136"/>
      <c r="J426" s="124"/>
      <c r="K426" s="124"/>
      <c r="L426" s="112"/>
      <c r="M426" s="112"/>
      <c r="N426" s="112"/>
      <c r="O426" s="112"/>
      <c r="P426" s="125"/>
      <c r="Q426" s="112"/>
      <c r="R426" s="112"/>
      <c r="S426" s="112"/>
      <c r="T426" s="112"/>
      <c r="U426" s="125"/>
    </row>
    <row r="427" spans="1:21">
      <c r="A427" s="168">
        <f ca="1">OFFSET('AFC Indiv. Fund Summary (Print)'!UnallwblWthdrwls, 3, 0, 1, 1)</f>
        <v>0</v>
      </c>
      <c r="B427" s="162">
        <f ca="1">OFFSET('AFC Indiv. Fund Summary (Print)'!UnallwblWthdrwls, 3, 1, 1, 1)</f>
        <v>0</v>
      </c>
      <c r="C427" s="108">
        <f ca="1">IF(OFFSET('AFC Indiv. Fund Summary (Print)'!UnallwblWthdrwls, 3, 2, 1, 1) =DATE(1900,1,0),DATE(1900,1,1),OFFSET('AFC Indiv. Fund Summary (Print)'!UnallwblWthdrwls, 3, 2, 1, 1))</f>
        <v>1</v>
      </c>
      <c r="D427" s="166">
        <f ca="1">IF(OFFSET('AFC Indiv. Fund Summary (Print)'!UnallwblWthdrwls,3,3,1,1)="",0,OFFSET('AFC Indiv. Fund Summary (Print)'!UnallwblWthdrwls,3,3,1,1))</f>
        <v>0</v>
      </c>
      <c r="E427" s="124"/>
      <c r="F427" s="124"/>
      <c r="G427" s="124"/>
      <c r="H427" s="124"/>
      <c r="I427" s="136"/>
      <c r="J427" s="124"/>
      <c r="K427" s="124"/>
      <c r="L427" s="112"/>
      <c r="M427" s="112"/>
      <c r="N427" s="112"/>
      <c r="O427" s="112"/>
      <c r="P427" s="125"/>
      <c r="Q427" s="112"/>
      <c r="R427" s="112"/>
      <c r="S427" s="112"/>
      <c r="T427" s="112"/>
      <c r="U427" s="125"/>
    </row>
    <row r="428" spans="1:21">
      <c r="A428" s="168">
        <f ca="1">OFFSET('AFC Indiv. Fund Summary (Print)'!UnallwblWthdrwls, 4, 0, 1, 1)</f>
        <v>0</v>
      </c>
      <c r="B428" s="162">
        <f ca="1">OFFSET('AFC Indiv. Fund Summary (Print)'!UnallwblWthdrwls, 4, 1, 1, 1)</f>
        <v>0</v>
      </c>
      <c r="C428" s="108">
        <f ca="1">IF(OFFSET('AFC Indiv. Fund Summary (Print)'!UnallwblWthdrwls, 4, 2, 1, 1) =DATE(1900,1,0),DATE(1900,1,1),OFFSET('AFC Indiv. Fund Summary (Print)'!UnallwblWthdrwls, 4, 2, 1, 1))</f>
        <v>1</v>
      </c>
      <c r="D428" s="166">
        <f ca="1">IF(OFFSET('AFC Indiv. Fund Summary (Print)'!UnallwblWthdrwls,4,3,1,1)="",0,OFFSET('AFC Indiv. Fund Summary (Print)'!UnallwblWthdrwls,4,3,1,1))</f>
        <v>0</v>
      </c>
      <c r="E428" s="124"/>
      <c r="F428" s="124"/>
      <c r="G428" s="124"/>
      <c r="H428" s="124"/>
      <c r="I428" s="136"/>
      <c r="J428" s="124"/>
      <c r="K428" s="124"/>
      <c r="L428" s="112"/>
      <c r="M428" s="112"/>
      <c r="N428" s="112"/>
      <c r="O428" s="112"/>
      <c r="P428" s="125"/>
      <c r="Q428" s="112"/>
      <c r="R428" s="112"/>
      <c r="S428" s="112"/>
      <c r="T428" s="112"/>
      <c r="U428" s="125"/>
    </row>
    <row r="429" spans="1:21">
      <c r="A429" s="168">
        <f ca="1">OFFSET('AFC Indiv. Fund Summary (Print)'!UnallwblWthdrwls, 5, 0, 1, 1)</f>
        <v>0</v>
      </c>
      <c r="B429" s="162">
        <f ca="1">OFFSET('AFC Indiv. Fund Summary (Print)'!UnallwblWthdrwls, 5, 1, 1, 1)</f>
        <v>0</v>
      </c>
      <c r="C429" s="108">
        <f ca="1">IF(OFFSET('AFC Indiv. Fund Summary (Print)'!UnallwblWthdrwls, 5, 2, 1, 1) =DATE(1900,1,0),DATE(1900,1,1),OFFSET('AFC Indiv. Fund Summary (Print)'!UnallwblWthdrwls, 5, 2, 1, 1))</f>
        <v>1</v>
      </c>
      <c r="D429" s="166">
        <f ca="1">IF(OFFSET('AFC Indiv. Fund Summary (Print)'!UnallwblWthdrwls,5,3,1,1)="",0,OFFSET('AFC Indiv. Fund Summary (Print)'!UnallwblWthdrwls,5,3,1,1))</f>
        <v>0</v>
      </c>
      <c r="E429" s="124"/>
      <c r="F429" s="124"/>
      <c r="G429" s="124"/>
      <c r="H429" s="124"/>
      <c r="I429" s="136"/>
      <c r="J429" s="124"/>
      <c r="K429" s="124"/>
      <c r="L429" s="112"/>
      <c r="M429" s="112"/>
      <c r="N429" s="112"/>
      <c r="O429" s="112"/>
      <c r="P429" s="125"/>
      <c r="Q429" s="112"/>
      <c r="R429" s="112"/>
      <c r="S429" s="112"/>
      <c r="T429" s="112"/>
      <c r="U429" s="125"/>
    </row>
    <row r="430" spans="1:21">
      <c r="A430" s="168">
        <f ca="1">OFFSET('AFC Indiv. Fund Summary (Print)'!UnallwblWthdrwls, 6, 0, 1, 1)</f>
        <v>0</v>
      </c>
      <c r="B430" s="162">
        <f ca="1">OFFSET('AFC Indiv. Fund Summary (Print)'!UnallwblWthdrwls, 6, 1, 1, 1)</f>
        <v>0</v>
      </c>
      <c r="C430" s="108">
        <f ca="1">IF(OFFSET('AFC Indiv. Fund Summary (Print)'!UnallwblWthdrwls, 6, 2, 1, 1) =DATE(1900,1,0),DATE(1900,1,1),OFFSET('AFC Indiv. Fund Summary (Print)'!UnallwblWthdrwls, 6, 2, 1, 1))</f>
        <v>1</v>
      </c>
      <c r="D430" s="166">
        <f ca="1">IF(OFFSET('AFC Indiv. Fund Summary (Print)'!UnallwblWthdrwls,6,3,1,1)="",0,OFFSET('AFC Indiv. Fund Summary (Print)'!UnallwblWthdrwls,6,3,1,1))</f>
        <v>0</v>
      </c>
      <c r="E430" s="124"/>
      <c r="F430" s="124"/>
      <c r="G430" s="124"/>
      <c r="H430" s="124"/>
      <c r="I430" s="136"/>
      <c r="J430" s="124"/>
      <c r="K430" s="124"/>
      <c r="L430" s="112"/>
      <c r="M430" s="112"/>
      <c r="N430" s="112"/>
      <c r="O430" s="112"/>
      <c r="P430" s="125"/>
      <c r="Q430" s="112"/>
      <c r="R430" s="112"/>
      <c r="S430" s="112"/>
      <c r="T430" s="112"/>
      <c r="U430" s="125"/>
    </row>
    <row r="431" spans="1:21">
      <c r="A431" s="168">
        <f ca="1">OFFSET('AFC Indiv. Fund Summary (Print)'!UnallwblWthdrwls, 7, 0, 1, 1)</f>
        <v>0</v>
      </c>
      <c r="B431" s="162">
        <f ca="1">OFFSET('AFC Indiv. Fund Summary (Print)'!UnallwblWthdrwls, 7, 1, 1, 1)</f>
        <v>0</v>
      </c>
      <c r="C431" s="108">
        <f ca="1">IF(OFFSET('AFC Indiv. Fund Summary (Print)'!UnallwblWthdrwls, 7, 2, 1, 1) =DATE(1900,1,0),DATE(1900,1,1),OFFSET('AFC Indiv. Fund Summary (Print)'!UnallwblWthdrwls, 7, 2, 1, 1))</f>
        <v>1</v>
      </c>
      <c r="D431" s="166">
        <f ca="1">IF(OFFSET('AFC Indiv. Fund Summary (Print)'!UnallwblWthdrwls,7,3,1,1)="",0,OFFSET('AFC Indiv. Fund Summary (Print)'!UnallwblWthdrwls,7,3,1,1))</f>
        <v>0</v>
      </c>
      <c r="E431" s="124"/>
      <c r="F431" s="124"/>
      <c r="G431" s="124"/>
      <c r="H431" s="124"/>
      <c r="I431" s="136"/>
      <c r="J431" s="124"/>
      <c r="K431" s="124"/>
      <c r="L431" s="112"/>
      <c r="M431" s="112"/>
      <c r="N431" s="112"/>
      <c r="O431" s="112"/>
      <c r="P431" s="125"/>
      <c r="Q431" s="112"/>
      <c r="R431" s="112"/>
      <c r="S431" s="112"/>
      <c r="T431" s="112"/>
      <c r="U431" s="125"/>
    </row>
    <row r="432" spans="1:21">
      <c r="A432" s="168">
        <f ca="1">OFFSET('AFC Indiv. Fund Summary (Print)'!UnallwblWthdrwls, 0, 5, 1, 1)</f>
        <v>0</v>
      </c>
      <c r="B432" s="162">
        <f ca="1">OFFSET('AFC Indiv. Fund Summary (Print)'!UnallwblWthdrwls, 0, 6, 1, 1)</f>
        <v>0</v>
      </c>
      <c r="C432" s="108">
        <f ca="1">IF(OFFSET('AFC Indiv. Fund Summary (Print)'!UnallwblWthdrwls, 0, 7, 1, 1) =DATE(1900,1,0),DATE(1900,1,1),OFFSET('AFC Indiv. Fund Summary (Print)'!UnallwblWthdrwls, 0, 7, 1, 1))</f>
        <v>1</v>
      </c>
      <c r="D432" s="166">
        <f ca="1">IF(OFFSET('AFC Indiv. Fund Summary (Print)'!UnallwblWthdrwls,0,8,1,1)="",0,OFFSET('AFC Indiv. Fund Summary (Print)'!UnallwblWthdrwls,0,8,1,1))</f>
        <v>0</v>
      </c>
      <c r="E432" s="124"/>
      <c r="F432" s="124"/>
      <c r="G432" s="124"/>
      <c r="H432" s="124"/>
      <c r="I432" s="136"/>
      <c r="J432" s="124"/>
      <c r="K432" s="124"/>
      <c r="L432" s="112"/>
      <c r="M432" s="112"/>
      <c r="N432" s="112"/>
      <c r="O432" s="112"/>
      <c r="P432" s="125"/>
      <c r="Q432" s="112"/>
      <c r="R432" s="112"/>
      <c r="S432" s="112"/>
      <c r="T432" s="112"/>
      <c r="U432" s="125"/>
    </row>
    <row r="433" spans="1:21">
      <c r="A433" s="168">
        <f ca="1">OFFSET('AFC Indiv. Fund Summary (Print)'!UnallwblWthdrwls, 1, 5, 1, 1)</f>
        <v>0</v>
      </c>
      <c r="B433" s="162">
        <f ca="1">OFFSET('AFC Indiv. Fund Summary (Print)'!UnallwblWthdrwls, 1, 6, 1, 1)</f>
        <v>0</v>
      </c>
      <c r="C433" s="108">
        <f ca="1">IF(OFFSET('AFC Indiv. Fund Summary (Print)'!UnallwblWthdrwls, 1, 7, 1, 1) =DATE(1900,1,0),DATE(1900,1,1),OFFSET('AFC Indiv. Fund Summary (Print)'!UnallwblWthdrwls, 1, 7, 1, 1))</f>
        <v>1</v>
      </c>
      <c r="D433" s="166">
        <f ca="1">IF(OFFSET('AFC Indiv. Fund Summary (Print)'!UnallwblWthdrwls,1,8,1,1)="",0,OFFSET('AFC Indiv. Fund Summary (Print)'!UnallwblWthdrwls,1,8,1,1))</f>
        <v>0</v>
      </c>
      <c r="E433" s="124"/>
      <c r="F433" s="124"/>
      <c r="G433" s="124"/>
      <c r="H433" s="124"/>
      <c r="I433" s="136"/>
      <c r="J433" s="124"/>
      <c r="K433" s="124"/>
      <c r="L433" s="112"/>
      <c r="M433" s="112"/>
      <c r="N433" s="112"/>
      <c r="O433" s="112"/>
      <c r="P433" s="125"/>
      <c r="Q433" s="112"/>
      <c r="R433" s="112"/>
      <c r="S433" s="112"/>
      <c r="T433" s="112"/>
      <c r="U433" s="125"/>
    </row>
    <row r="434" spans="1:21">
      <c r="A434" s="168">
        <f ca="1">OFFSET('AFC Indiv. Fund Summary (Print)'!UnallwblWthdrwls, 2, 5, 1, 1)</f>
        <v>0</v>
      </c>
      <c r="B434" s="162">
        <f ca="1">OFFSET('AFC Indiv. Fund Summary (Print)'!UnallwblWthdrwls, 2, 6, 1, 1)</f>
        <v>0</v>
      </c>
      <c r="C434" s="108">
        <f ca="1">IF(OFFSET('AFC Indiv. Fund Summary (Print)'!UnallwblWthdrwls, 2, 7, 1, 1) =DATE(1900,1,0),DATE(1900,1,1),OFFSET('AFC Indiv. Fund Summary (Print)'!UnallwblWthdrwls, 2, 7, 1, 1))</f>
        <v>1</v>
      </c>
      <c r="D434" s="166">
        <f ca="1">IF(OFFSET('AFC Indiv. Fund Summary (Print)'!UnallwblWthdrwls,2,8,1,1)="",0,OFFSET('AFC Indiv. Fund Summary (Print)'!UnallwblWthdrwls,2,8,1,1))</f>
        <v>0</v>
      </c>
      <c r="E434" s="124"/>
      <c r="F434" s="124"/>
      <c r="G434" s="124"/>
      <c r="H434" s="124"/>
      <c r="I434" s="136"/>
      <c r="J434" s="124"/>
      <c r="K434" s="124"/>
      <c r="L434" s="112"/>
      <c r="M434" s="112"/>
      <c r="N434" s="112"/>
      <c r="O434" s="112"/>
      <c r="P434" s="125"/>
      <c r="Q434" s="112"/>
      <c r="R434" s="112"/>
      <c r="S434" s="112"/>
      <c r="T434" s="112"/>
      <c r="U434" s="125"/>
    </row>
    <row r="435" spans="1:21">
      <c r="A435" s="168">
        <f ca="1">OFFSET('AFC Indiv. Fund Summary (Print)'!UnallwblWthdrwls, 3, 5, 1, 1)</f>
        <v>0</v>
      </c>
      <c r="B435" s="162">
        <f ca="1">OFFSET('AFC Indiv. Fund Summary (Print)'!UnallwblWthdrwls, 3, 6, 1, 1)</f>
        <v>0</v>
      </c>
      <c r="C435" s="108">
        <f ca="1">IF(OFFSET('AFC Indiv. Fund Summary (Print)'!UnallwblWthdrwls, 3, 7, 1, 1) =DATE(1900,1,0),DATE(1900,1,1),OFFSET('AFC Indiv. Fund Summary (Print)'!UnallwblWthdrwls, 3, 7, 1, 1))</f>
        <v>1</v>
      </c>
      <c r="D435" s="166">
        <f ca="1">IF(OFFSET('AFC Indiv. Fund Summary (Print)'!UnallwblWthdrwls,3,8,1,1)="",0,OFFSET('AFC Indiv. Fund Summary (Print)'!UnallwblWthdrwls,3,8,1,1))</f>
        <v>0</v>
      </c>
      <c r="E435" s="124"/>
      <c r="F435" s="124"/>
      <c r="G435" s="124"/>
      <c r="H435" s="124"/>
      <c r="I435" s="136"/>
      <c r="J435" s="124"/>
      <c r="K435" s="124"/>
      <c r="L435" s="112"/>
      <c r="M435" s="112"/>
      <c r="N435" s="112"/>
      <c r="O435" s="112"/>
      <c r="P435" s="125"/>
      <c r="Q435" s="112"/>
      <c r="R435" s="112"/>
      <c r="S435" s="112"/>
      <c r="T435" s="112"/>
      <c r="U435" s="125"/>
    </row>
    <row r="436" spans="1:21">
      <c r="A436" s="168">
        <f ca="1">OFFSET('AFC Indiv. Fund Summary (Print)'!UnallwblWthdrwls, 4, 5, 1, 1)</f>
        <v>0</v>
      </c>
      <c r="B436" s="162">
        <f ca="1">OFFSET('AFC Indiv. Fund Summary (Print)'!UnallwblWthdrwls, 4, 6, 1, 1)</f>
        <v>0</v>
      </c>
      <c r="C436" s="108">
        <f ca="1">IF(OFFSET('AFC Indiv. Fund Summary (Print)'!UnallwblWthdrwls, 4, 7, 1, 1) =DATE(1900,1,0),DATE(1900,1,1),OFFSET('AFC Indiv. Fund Summary (Print)'!UnallwblWthdrwls, 4, 7, 1, 1))</f>
        <v>1</v>
      </c>
      <c r="D436" s="166">
        <f ca="1">IF(OFFSET('AFC Indiv. Fund Summary (Print)'!UnallwblWthdrwls,4,8,1,1)="",0,OFFSET('AFC Indiv. Fund Summary (Print)'!UnallwblWthdrwls,4,8,1,1))</f>
        <v>0</v>
      </c>
      <c r="E436" s="124"/>
      <c r="F436" s="124"/>
      <c r="G436" s="124"/>
      <c r="H436" s="124"/>
      <c r="I436" s="136"/>
      <c r="J436" s="124"/>
      <c r="K436" s="124"/>
      <c r="L436" s="112"/>
      <c r="M436" s="112"/>
      <c r="N436" s="112"/>
      <c r="O436" s="112"/>
      <c r="P436" s="125"/>
      <c r="Q436" s="112"/>
      <c r="R436" s="112"/>
      <c r="S436" s="112"/>
      <c r="T436" s="112"/>
      <c r="U436" s="125"/>
    </row>
    <row r="437" spans="1:21">
      <c r="A437" s="168">
        <f ca="1">OFFSET('AFC Indiv. Fund Summary (Print)'!UnallwblWthdrwls, 5, 5, 1, 1)</f>
        <v>0</v>
      </c>
      <c r="B437" s="162">
        <f ca="1">OFFSET('AFC Indiv. Fund Summary (Print)'!UnallwblWthdrwls, 5, 6, 1, 1)</f>
        <v>0</v>
      </c>
      <c r="C437" s="108">
        <f ca="1">IF(OFFSET('AFC Indiv. Fund Summary (Print)'!UnallwblWthdrwls, 5, 7, 1, 1) =DATE(1900,1,0),DATE(1900,1,1),OFFSET('AFC Indiv. Fund Summary (Print)'!UnallwblWthdrwls, 5, 7, 1, 1))</f>
        <v>1</v>
      </c>
      <c r="D437" s="166">
        <f ca="1">IF(OFFSET('AFC Indiv. Fund Summary (Print)'!UnallwblWthdrwls,5,8,1,1)="",0,OFFSET('AFC Indiv. Fund Summary (Print)'!UnallwblWthdrwls,5,8,1,1))</f>
        <v>0</v>
      </c>
      <c r="E437" s="124"/>
      <c r="F437" s="124"/>
      <c r="G437" s="124"/>
      <c r="H437" s="124"/>
      <c r="I437" s="136"/>
      <c r="J437" s="124"/>
      <c r="K437" s="124"/>
      <c r="L437" s="112"/>
      <c r="M437" s="112"/>
      <c r="N437" s="112"/>
      <c r="O437" s="112"/>
      <c r="P437" s="125"/>
      <c r="Q437" s="112"/>
      <c r="R437" s="112"/>
      <c r="S437" s="112"/>
      <c r="T437" s="112"/>
      <c r="U437" s="125"/>
    </row>
    <row r="438" spans="1:21">
      <c r="A438" s="168">
        <f ca="1">OFFSET('AFC Indiv. Fund Summary (Print)'!UnallwblWthdrwls, 6, 5, 1, 1)</f>
        <v>0</v>
      </c>
      <c r="B438" s="162">
        <f ca="1">OFFSET('AFC Indiv. Fund Summary (Print)'!UnallwblWthdrwls, 6, 6, 1, 1)</f>
        <v>0</v>
      </c>
      <c r="C438" s="108">
        <f ca="1">IF(OFFSET('AFC Indiv. Fund Summary (Print)'!UnallwblWthdrwls, 6, 7, 1, 1) =DATE(1900,1,0),DATE(1900,1,1),OFFSET('AFC Indiv. Fund Summary (Print)'!UnallwblWthdrwls, 6, 7, 1, 1))</f>
        <v>1</v>
      </c>
      <c r="D438" s="166">
        <f ca="1">IF(OFFSET('AFC Indiv. Fund Summary (Print)'!UnallwblWthdrwls,6,8,1,1)="",0,OFFSET('AFC Indiv. Fund Summary (Print)'!UnallwblWthdrwls,6,8,1,1))</f>
        <v>0</v>
      </c>
      <c r="E438" s="124"/>
      <c r="F438" s="124"/>
      <c r="G438" s="124"/>
      <c r="H438" s="124"/>
      <c r="I438" s="136"/>
      <c r="J438" s="124"/>
      <c r="K438" s="124"/>
      <c r="L438" s="112"/>
      <c r="M438" s="112"/>
      <c r="N438" s="112"/>
      <c r="O438" s="112"/>
      <c r="P438" s="125"/>
      <c r="Q438" s="112"/>
      <c r="R438" s="112"/>
      <c r="S438" s="112"/>
      <c r="T438" s="112"/>
      <c r="U438" s="125"/>
    </row>
    <row r="439" spans="1:21" ht="15" thickBot="1">
      <c r="A439" s="169">
        <f ca="1">OFFSET('AFC Indiv. Fund Summary (Print)'!UnallwblWthdrwls, 7, 5, 1, 1)</f>
        <v>0</v>
      </c>
      <c r="B439" s="163">
        <f ca="1">OFFSET('AFC Indiv. Fund Summary (Print)'!UnallwblWthdrwls, 7, 6, 1, 1)</f>
        <v>0</v>
      </c>
      <c r="C439" s="110">
        <f ca="1">IF(OFFSET('AFC Indiv. Fund Summary (Print)'!UnallwblWthdrwls, 7, 7, 1, 1) =DATE(1900,1,0),DATE(1900,1,1),OFFSET('AFC Indiv. Fund Summary (Print)'!UnallwblWthdrwls, 7, 7, 1, 1))</f>
        <v>1</v>
      </c>
      <c r="D439" s="167">
        <f ca="1">IF(OFFSET('AFC Indiv. Fund Summary (Print)'!UnallwblWthdrwls,7,8,1,1)="",0,OFFSET('AFC Indiv. Fund Summary (Print)'!UnallwblWthdrwls,7,8,1,1))</f>
        <v>0</v>
      </c>
      <c r="E439" s="124"/>
      <c r="F439" s="124"/>
      <c r="G439" s="124"/>
      <c r="H439" s="124"/>
      <c r="I439" s="136"/>
      <c r="J439" s="124"/>
      <c r="K439" s="124"/>
      <c r="L439" s="112"/>
      <c r="M439" s="112"/>
      <c r="N439" s="112"/>
      <c r="O439" s="112"/>
      <c r="P439" s="125"/>
      <c r="Q439" s="112"/>
      <c r="R439" s="112"/>
      <c r="S439" s="112"/>
      <c r="T439" s="112"/>
      <c r="U439" s="125"/>
    </row>
    <row r="440" spans="1:21">
      <c r="A440" s="135"/>
      <c r="B440" s="124"/>
      <c r="C440" s="124"/>
      <c r="D440" s="124"/>
      <c r="E440" s="124"/>
      <c r="F440" s="124"/>
      <c r="G440" s="124"/>
      <c r="H440" s="124"/>
      <c r="I440" s="136"/>
      <c r="J440" s="124"/>
      <c r="K440" s="124"/>
      <c r="L440" s="112"/>
      <c r="M440" s="112"/>
      <c r="N440" s="112"/>
      <c r="O440" s="112"/>
      <c r="P440" s="125"/>
      <c r="Q440" s="112"/>
      <c r="R440" s="112"/>
      <c r="S440" s="112"/>
      <c r="T440" s="112"/>
      <c r="U440" s="125"/>
    </row>
    <row r="441" spans="1:21" ht="15" thickBot="1">
      <c r="A441" s="124" t="s">
        <v>883</v>
      </c>
      <c r="B441" s="124"/>
      <c r="C441" s="124"/>
      <c r="D441" s="124"/>
      <c r="E441" s="124"/>
      <c r="G441" s="124"/>
      <c r="H441" s="124"/>
      <c r="I441" s="136"/>
      <c r="J441" s="124"/>
      <c r="K441" s="124"/>
      <c r="L441" s="112"/>
      <c r="M441" s="112"/>
      <c r="N441" s="112"/>
      <c r="O441" s="112"/>
      <c r="P441" s="125"/>
      <c r="Q441" s="112"/>
      <c r="R441" s="112"/>
      <c r="S441" s="112"/>
      <c r="T441" s="112"/>
      <c r="U441" s="125"/>
    </row>
    <row r="442" spans="1:21">
      <c r="A442" s="129" t="s">
        <v>841</v>
      </c>
      <c r="B442" s="130" t="s">
        <v>831</v>
      </c>
      <c r="C442" s="130" t="s">
        <v>843</v>
      </c>
      <c r="D442" s="131" t="s">
        <v>844</v>
      </c>
      <c r="E442" s="124"/>
      <c r="F442" s="124"/>
      <c r="G442" s="124"/>
      <c r="H442" s="124"/>
      <c r="I442" s="136"/>
      <c r="J442" s="124"/>
      <c r="K442" s="124"/>
      <c r="L442" s="112"/>
      <c r="M442" s="112"/>
      <c r="N442" s="112"/>
      <c r="O442" s="112"/>
      <c r="P442" s="125"/>
      <c r="Q442" s="112"/>
      <c r="R442" s="112"/>
      <c r="S442" s="112"/>
      <c r="T442" s="112"/>
      <c r="U442" s="125"/>
    </row>
    <row r="443" spans="1:21">
      <c r="A443" s="168">
        <f ca="1">OFFSET('AFC Indiv. Fund Summary (Print)'!TrstFndRfndDcsdOrDschdIndv, 0, 1, 1, 1)</f>
        <v>0</v>
      </c>
      <c r="B443" s="162">
        <v>30</v>
      </c>
      <c r="C443" s="108">
        <f ca="1">IF(OFFSET('AFC Indiv. Fund Summary (Print)'!TrstFndRfndDcsdOrDschdIndv, 0, 2, 1, 1) =DATE(1900,1,0),DATE(1900,1,1),OFFSET('AFC Indiv. Fund Summary (Print)'!TrstFndRfndDcsdOrDschdIndv, 0, 2, 1, 1))</f>
        <v>1</v>
      </c>
      <c r="D443" s="166">
        <f ca="1">IF(OFFSET('AFC Indiv. Fund Summary (Print)'!TrstFndRfndDcsdOrDschdIndv, 0, 3, 1, 1) = "", 0, OFFSET('AFC Indiv. Fund Summary (Print)'!TrstFndRfndDcsdOrDschdIndv, 0, 3, 1, 1))</f>
        <v>0</v>
      </c>
      <c r="E443" s="124"/>
      <c r="F443" s="124"/>
      <c r="G443" s="124"/>
      <c r="H443" s="124"/>
      <c r="I443" s="136"/>
      <c r="J443" s="124"/>
      <c r="K443" s="124"/>
      <c r="L443" s="112"/>
      <c r="M443" s="112"/>
      <c r="N443" s="112"/>
      <c r="O443" s="112"/>
      <c r="P443" s="125"/>
      <c r="Q443" s="112"/>
      <c r="R443" s="112"/>
      <c r="S443" s="112"/>
      <c r="T443" s="112"/>
      <c r="U443" s="125"/>
    </row>
    <row r="444" spans="1:21">
      <c r="A444" s="168">
        <f ca="1">OFFSET('AFC Indiv. Fund Summary (Print)'!TrstFndRfndDcsdOrDschdIndv, 1, 1, 1, 1)</f>
        <v>0</v>
      </c>
      <c r="B444" s="162">
        <v>30</v>
      </c>
      <c r="C444" s="108">
        <f ca="1">IF(OFFSET('AFC Indiv. Fund Summary (Print)'!TrstFndRfndDcsdOrDschdIndv, 1, 2, 1, 1) =DATE(1900,1,0),DATE(1900,1,1),OFFSET('AFC Indiv. Fund Summary (Print)'!TrstFndRfndDcsdOrDschdIndv, 1, 2, 1, 1))</f>
        <v>1</v>
      </c>
      <c r="D444" s="166">
        <f ca="1">IF(OFFSET('AFC Indiv. Fund Summary (Print)'!TrstFndRfndDcsdOrDschdIndv, 1, 3, 1, 1) = "", 0, OFFSET('AFC Indiv. Fund Summary (Print)'!TrstFndRfndDcsdOrDschdIndv, 1, 3, 1, 1))</f>
        <v>0</v>
      </c>
      <c r="E444" s="124"/>
      <c r="F444" s="124"/>
      <c r="G444" s="124"/>
      <c r="H444" s="124"/>
      <c r="I444" s="136"/>
      <c r="J444" s="124"/>
      <c r="K444" s="124"/>
      <c r="L444" s="112"/>
      <c r="M444" s="112"/>
      <c r="N444" s="112"/>
      <c r="O444" s="112"/>
      <c r="P444" s="125"/>
      <c r="Q444" s="112"/>
      <c r="R444" s="112"/>
      <c r="S444" s="112"/>
      <c r="T444" s="112"/>
      <c r="U444" s="125"/>
    </row>
    <row r="445" spans="1:21">
      <c r="A445" s="168">
        <f ca="1">OFFSET('AFC Indiv. Fund Summary (Print)'!TrstFndRfndDcsdOrDschdIndv, 2, 1, 1, 1)</f>
        <v>0</v>
      </c>
      <c r="B445" s="162">
        <v>30</v>
      </c>
      <c r="C445" s="108">
        <f ca="1">IF(OFFSET('AFC Indiv. Fund Summary (Print)'!TrstFndRfndDcsdOrDschdIndv, 2, 2, 1, 1) =DATE(1900,1,0),DATE(1900,1,1),OFFSET('AFC Indiv. Fund Summary (Print)'!TrstFndRfndDcsdOrDschdIndv, 2, 2, 1, 1))</f>
        <v>1</v>
      </c>
      <c r="D445" s="166">
        <f ca="1">IF(OFFSET('AFC Indiv. Fund Summary (Print)'!TrstFndRfndDcsdOrDschdIndv, 2, 3, 1, 1) = "", 0, OFFSET('AFC Indiv. Fund Summary (Print)'!TrstFndRfndDcsdOrDschdIndv, 2, 3, 1, 1))</f>
        <v>0</v>
      </c>
      <c r="E445" s="124"/>
      <c r="F445" s="124"/>
      <c r="G445" s="124"/>
      <c r="H445" s="124"/>
      <c r="I445" s="136"/>
      <c r="J445" s="124"/>
      <c r="K445" s="124"/>
      <c r="L445" s="112"/>
      <c r="M445" s="112"/>
      <c r="N445" s="112"/>
      <c r="O445" s="112"/>
      <c r="P445" s="125"/>
      <c r="Q445" s="112"/>
      <c r="R445" s="112"/>
      <c r="S445" s="112"/>
      <c r="T445" s="112"/>
      <c r="U445" s="125"/>
    </row>
    <row r="446" spans="1:21">
      <c r="A446" s="168">
        <f ca="1">OFFSET('AFC Indiv. Fund Summary (Print)'!TrstFndRfndDcsdOrDschdIndv, 3, 1, 1, 1)</f>
        <v>0</v>
      </c>
      <c r="B446" s="162">
        <v>30</v>
      </c>
      <c r="C446" s="108">
        <f ca="1">IF(OFFSET('AFC Indiv. Fund Summary (Print)'!TrstFndRfndDcsdOrDschdIndv, 3, 2, 1, 1) =DATE(1900,1,0),DATE(1900,1,1),OFFSET('AFC Indiv. Fund Summary (Print)'!TrstFndRfndDcsdOrDschdIndv, 3, 2, 1, 1))</f>
        <v>1</v>
      </c>
      <c r="D446" s="166">
        <f ca="1">IF(OFFSET('AFC Indiv. Fund Summary (Print)'!TrstFndRfndDcsdOrDschdIndv, 3, 3, 1, 1) = "", 0, OFFSET('AFC Indiv. Fund Summary (Print)'!TrstFndRfndDcsdOrDschdIndv, 3, 3, 1, 1))</f>
        <v>0</v>
      </c>
      <c r="E446" s="124"/>
      <c r="F446" s="124"/>
      <c r="G446" s="124"/>
      <c r="H446" s="124"/>
      <c r="I446" s="136"/>
      <c r="J446" s="124"/>
      <c r="K446" s="124"/>
      <c r="L446" s="112"/>
      <c r="M446" s="112"/>
      <c r="N446" s="112"/>
      <c r="O446" s="112"/>
      <c r="P446" s="125"/>
      <c r="Q446" s="112"/>
      <c r="R446" s="112"/>
      <c r="S446" s="112"/>
      <c r="T446" s="112"/>
      <c r="U446" s="125"/>
    </row>
    <row r="447" spans="1:21">
      <c r="A447" s="168">
        <f ca="1">OFFSET('AFC Indiv. Fund Summary (Print)'!TrstFndRfndDcsdOrDschdIndv, 4, 1, 1, 1)</f>
        <v>0</v>
      </c>
      <c r="B447" s="162">
        <v>30</v>
      </c>
      <c r="C447" s="108">
        <f ca="1">IF(OFFSET('AFC Indiv. Fund Summary (Print)'!TrstFndRfndDcsdOrDschdIndv, 4, 2, 1, 1) =DATE(1900,1,0),DATE(1900,1,1),OFFSET('AFC Indiv. Fund Summary (Print)'!TrstFndRfndDcsdOrDschdIndv, 4, 2, 1, 1))</f>
        <v>1</v>
      </c>
      <c r="D447" s="166">
        <f ca="1">IF(OFFSET('AFC Indiv. Fund Summary (Print)'!TrstFndRfndDcsdOrDschdIndv, 4, 3, 1, 1) = "", 0, OFFSET('AFC Indiv. Fund Summary (Print)'!TrstFndRfndDcsdOrDschdIndv, 4, 3, 1, 1))</f>
        <v>0</v>
      </c>
      <c r="E447" s="124"/>
      <c r="F447" s="124"/>
      <c r="G447" s="124"/>
      <c r="H447" s="124"/>
      <c r="I447" s="136"/>
      <c r="J447" s="124"/>
      <c r="K447" s="124"/>
      <c r="L447" s="112"/>
      <c r="M447" s="112"/>
      <c r="N447" s="112"/>
      <c r="O447" s="112"/>
      <c r="P447" s="125"/>
      <c r="Q447" s="112"/>
      <c r="R447" s="112"/>
      <c r="S447" s="112"/>
      <c r="T447" s="112"/>
      <c r="U447" s="125"/>
    </row>
    <row r="448" spans="1:21">
      <c r="A448" s="168">
        <f ca="1">OFFSET('AFC Indiv. Fund Summary (Print)'!TrstFndRfndDcsdOrDschdIndv, 5, 1, 1, 1)</f>
        <v>0</v>
      </c>
      <c r="B448" s="162">
        <v>30</v>
      </c>
      <c r="C448" s="108">
        <f ca="1">IF(OFFSET('AFC Indiv. Fund Summary (Print)'!TrstFndRfndDcsdOrDschdIndv, 5, 2, 1, 1) =DATE(1900,1,0),DATE(1900,1,1),OFFSET('AFC Indiv. Fund Summary (Print)'!TrstFndRfndDcsdOrDschdIndv, 5, 2, 1, 1))</f>
        <v>1</v>
      </c>
      <c r="D448" s="166">
        <f ca="1">IF(OFFSET('AFC Indiv. Fund Summary (Print)'!TrstFndRfndDcsdOrDschdIndv, 5, 3, 1, 1) = "", 0, OFFSET('AFC Indiv. Fund Summary (Print)'!TrstFndRfndDcsdOrDschdIndv, 5, 3, 1, 1))</f>
        <v>0</v>
      </c>
      <c r="E448" s="124"/>
      <c r="F448" s="124"/>
      <c r="G448" s="124"/>
      <c r="H448" s="124"/>
      <c r="I448" s="136"/>
      <c r="J448" s="124"/>
      <c r="K448" s="124"/>
      <c r="L448" s="112"/>
      <c r="M448" s="112"/>
      <c r="N448" s="112"/>
      <c r="O448" s="112"/>
      <c r="P448" s="125"/>
      <c r="Q448" s="112"/>
      <c r="R448" s="112"/>
      <c r="S448" s="112"/>
      <c r="T448" s="112"/>
      <c r="U448" s="125"/>
    </row>
    <row r="449" spans="1:21">
      <c r="A449" s="168">
        <f ca="1">OFFSET('AFC Indiv. Fund Summary (Print)'!TrstFndRfndDcsdOrDschdIndv, 6, 1, 1, 1)</f>
        <v>0</v>
      </c>
      <c r="B449" s="162">
        <v>30</v>
      </c>
      <c r="C449" s="108">
        <f ca="1">IF(OFFSET('AFC Indiv. Fund Summary (Print)'!TrstFndRfndDcsdOrDschdIndv, 6, 2, 1, 1) =DATE(1900,1,0),DATE(1900,1,1),OFFSET('AFC Indiv. Fund Summary (Print)'!TrstFndRfndDcsdOrDschdIndv, 6, 2, 1, 1))</f>
        <v>1</v>
      </c>
      <c r="D449" s="166">
        <f ca="1">IF(OFFSET('AFC Indiv. Fund Summary (Print)'!TrstFndRfndDcsdOrDschdIndv, 6, 3, 1, 1) = "", 0, OFFSET('AFC Indiv. Fund Summary (Print)'!TrstFndRfndDcsdOrDschdIndv, 6, 3, 1, 1))</f>
        <v>0</v>
      </c>
      <c r="E449" s="124"/>
      <c r="F449" s="124"/>
      <c r="G449" s="124"/>
      <c r="H449" s="124"/>
      <c r="I449" s="136"/>
      <c r="J449" s="124"/>
      <c r="K449" s="124"/>
      <c r="L449" s="112"/>
      <c r="M449" s="112"/>
      <c r="N449" s="112"/>
      <c r="O449" s="112"/>
      <c r="P449" s="125"/>
      <c r="Q449" s="112"/>
      <c r="R449" s="112"/>
      <c r="S449" s="112"/>
      <c r="T449" s="112"/>
      <c r="U449" s="125"/>
    </row>
    <row r="450" spans="1:21" ht="15" thickBot="1">
      <c r="A450" s="169">
        <f ca="1">OFFSET('AFC Indiv. Fund Summary (Print)'!TrstFndRfndDcsdOrDschdIndv, 7, 1, 1, 1)</f>
        <v>0</v>
      </c>
      <c r="B450" s="163">
        <v>30</v>
      </c>
      <c r="C450" s="110">
        <f ca="1">IF(OFFSET('AFC Indiv. Fund Summary (Print)'!TrstFndRfndDcsdOrDschdIndv, 7, 2, 1, 1) =DATE(1900,1,0),DATE(1900,1,1),OFFSET('AFC Indiv. Fund Summary (Print)'!TrstFndRfndDcsdOrDschdIndv, 7, 2, 1, 1))</f>
        <v>1</v>
      </c>
      <c r="D450" s="167">
        <f ca="1">IF(OFFSET('AFC Indiv. Fund Summary (Print)'!TrstFndRfndDcsdOrDschdIndv, 7, 3, 1, 1) = "", 0, OFFSET('AFC Indiv. Fund Summary (Print)'!TrstFndRfndDcsdOrDschdIndv, 7, 3, 1, 1))</f>
        <v>0</v>
      </c>
      <c r="E450" s="124"/>
      <c r="F450" s="124"/>
      <c r="G450" s="124"/>
      <c r="H450" s="124"/>
      <c r="I450" s="136"/>
      <c r="J450" s="124"/>
      <c r="K450" s="124"/>
      <c r="L450" s="112"/>
      <c r="M450" s="112"/>
      <c r="N450" s="112"/>
      <c r="O450" s="112"/>
      <c r="P450" s="125"/>
      <c r="Q450" s="112"/>
      <c r="R450" s="112"/>
      <c r="S450" s="112"/>
      <c r="T450" s="112"/>
      <c r="U450" s="125"/>
    </row>
    <row r="451" spans="1:21">
      <c r="A451" s="107"/>
      <c r="B451" s="112"/>
      <c r="C451" s="108"/>
      <c r="D451" s="113"/>
      <c r="E451" s="124"/>
      <c r="F451" s="124"/>
      <c r="G451" s="124"/>
      <c r="H451" s="124"/>
      <c r="I451" s="136"/>
      <c r="J451" s="124"/>
      <c r="K451" s="124"/>
      <c r="L451" s="112"/>
      <c r="M451" s="112"/>
      <c r="N451" s="112"/>
      <c r="O451" s="112"/>
      <c r="P451" s="125"/>
      <c r="Q451" s="112"/>
      <c r="R451" s="112"/>
      <c r="S451" s="112"/>
      <c r="T451" s="112"/>
      <c r="U451" s="125"/>
    </row>
    <row r="452" spans="1:21" ht="15" thickBot="1">
      <c r="A452" s="107" t="s">
        <v>884</v>
      </c>
      <c r="B452" s="112"/>
      <c r="C452" s="108"/>
      <c r="D452" s="113"/>
      <c r="E452" s="124"/>
      <c r="F452" s="124"/>
      <c r="G452" s="124"/>
      <c r="H452" s="124"/>
      <c r="I452" s="136"/>
      <c r="J452" s="124"/>
      <c r="K452" s="124"/>
      <c r="L452" s="112"/>
      <c r="M452" s="112"/>
      <c r="N452" s="112"/>
      <c r="O452" s="112"/>
      <c r="P452" s="125"/>
      <c r="Q452" s="112"/>
      <c r="R452" s="112"/>
      <c r="S452" s="112"/>
      <c r="T452" s="112"/>
      <c r="U452" s="125"/>
    </row>
    <row r="453" spans="1:21">
      <c r="A453" s="129" t="s">
        <v>841</v>
      </c>
      <c r="B453" s="130" t="s">
        <v>831</v>
      </c>
      <c r="C453" s="130" t="s">
        <v>151</v>
      </c>
      <c r="D453" s="358" t="s">
        <v>1068</v>
      </c>
      <c r="E453" s="124"/>
      <c r="F453" s="124"/>
      <c r="G453" s="124"/>
      <c r="H453" s="124"/>
      <c r="I453" s="136"/>
      <c r="J453" s="124"/>
      <c r="K453" s="124"/>
      <c r="L453" s="112"/>
      <c r="M453" s="112"/>
      <c r="N453" s="112"/>
      <c r="O453" s="112"/>
      <c r="P453" s="125"/>
      <c r="Q453" s="112"/>
      <c r="R453" s="112"/>
      <c r="S453" s="112"/>
      <c r="T453" s="112"/>
      <c r="U453" s="125"/>
    </row>
    <row r="454" spans="1:21">
      <c r="A454" s="168">
        <f ca="1">OFFSET('AFC Indiv. Fund Summary (Print)'!OvrCollRmBdCoPayBdHld, 0, 1, 1, 1)</f>
        <v>0</v>
      </c>
      <c r="B454" s="162">
        <f ca="1">OFFSET('AFC Indiv. Fund Summary (Print)'!OvrCollRmBdCoPayBdHld, 0, 0, 1, 1)</f>
        <v>0</v>
      </c>
      <c r="C454" s="116">
        <f ca="1">IF(OFFSET('AFC Indiv. Fund Summary (Print)'!OvrCollRmBdCoPayBdHld, 0, 3, 1, 1)="",0, OFFSET('AFC Indiv. Fund Summary (Print)'!OvrCollRmBdCoPayBdHld, 0, 3, 1, 1))</f>
        <v>0</v>
      </c>
      <c r="D454" s="356">
        <f ca="1">IF(OFFSET('AFC Indiv. Fund Summary (Print)'!OvrCollRmBdCoPayBdHld, 0, 2, 1, 1)=DATE(1900,1,0),DATE(1900,1,1),OFFSET('AFC Indiv. Fund Summary (Print)'!OvrCollRmBdCoPayBdHld, 0, 2, 1, 1))</f>
        <v>1</v>
      </c>
      <c r="E454" s="124"/>
      <c r="F454" s="124"/>
      <c r="G454" s="124"/>
      <c r="H454" s="124"/>
      <c r="I454" s="136"/>
      <c r="J454" s="124"/>
      <c r="K454" s="124"/>
      <c r="L454" s="112"/>
      <c r="M454" s="112"/>
      <c r="N454" s="112"/>
      <c r="O454" s="112"/>
      <c r="P454" s="125"/>
      <c r="Q454" s="112"/>
      <c r="R454" s="112"/>
      <c r="S454" s="112"/>
      <c r="T454" s="112"/>
      <c r="U454" s="125"/>
    </row>
    <row r="455" spans="1:21">
      <c r="A455" s="168">
        <f ca="1">OFFSET('AFC Indiv. Fund Summary (Print)'!OvrCollRmBdCoPayBdHld, 1, 1, 1, 1)</f>
        <v>0</v>
      </c>
      <c r="B455" s="162">
        <f ca="1">OFFSET('AFC Indiv. Fund Summary (Print)'!OvrCollRmBdCoPayBdHld, 1, 0, 1, 1)</f>
        <v>0</v>
      </c>
      <c r="C455" s="116">
        <f ca="1">IF(OFFSET('AFC Indiv. Fund Summary (Print)'!OvrCollRmBdCoPayBdHld, 1, 3, 1, 1)="",0, OFFSET('AFC Indiv. Fund Summary (Print)'!OvrCollRmBdCoPayBdHld, 1, 3, 1, 1))</f>
        <v>0</v>
      </c>
      <c r="D455" s="356">
        <f ca="1">IF(OFFSET('AFC Indiv. Fund Summary (Print)'!OvrCollRmBdCoPayBdHld, 1, 2, 1, 1)=DATE(1900,1,0),DATE(1900,1,1),OFFSET('AFC Indiv. Fund Summary (Print)'!OvrCollRmBdCoPayBdHld, 1, 2, 1, 1))</f>
        <v>1</v>
      </c>
      <c r="E455" s="124"/>
      <c r="F455" s="124"/>
      <c r="G455" s="124"/>
      <c r="H455" s="124"/>
      <c r="I455" s="136"/>
      <c r="J455" s="124"/>
      <c r="K455" s="124"/>
      <c r="L455" s="112"/>
      <c r="M455" s="112"/>
      <c r="N455" s="112"/>
      <c r="O455" s="112"/>
      <c r="P455" s="125"/>
      <c r="Q455" s="112"/>
      <c r="R455" s="112"/>
      <c r="S455" s="112"/>
      <c r="T455" s="112"/>
      <c r="U455" s="125"/>
    </row>
    <row r="456" spans="1:21">
      <c r="A456" s="168">
        <f ca="1">OFFSET('AFC Indiv. Fund Summary (Print)'!OvrCollRmBdCoPayBdHld, 2, 1, 1, 1)</f>
        <v>0</v>
      </c>
      <c r="B456" s="162">
        <f ca="1">OFFSET('AFC Indiv. Fund Summary (Print)'!OvrCollRmBdCoPayBdHld, 2, 0, 1, 1)</f>
        <v>0</v>
      </c>
      <c r="C456" s="116">
        <f ca="1">IF(OFFSET('AFC Indiv. Fund Summary (Print)'!OvrCollRmBdCoPayBdHld, 2, 3, 1, 1)="",0, OFFSET('AFC Indiv. Fund Summary (Print)'!OvrCollRmBdCoPayBdHld, 2, 3, 1, 1))</f>
        <v>0</v>
      </c>
      <c r="D456" s="356">
        <f ca="1">IF(OFFSET('AFC Indiv. Fund Summary (Print)'!OvrCollRmBdCoPayBdHld, 2, 2, 1, 1)=DATE(1900,1,0),DATE(1900,1,1),OFFSET('AFC Indiv. Fund Summary (Print)'!OvrCollRmBdCoPayBdHld, 2, 2, 1, 1))</f>
        <v>1</v>
      </c>
      <c r="E456" s="124"/>
      <c r="F456" s="124"/>
      <c r="G456" s="124"/>
      <c r="H456" s="124"/>
      <c r="I456" s="136"/>
      <c r="J456" s="124"/>
      <c r="K456" s="124"/>
      <c r="L456" s="112"/>
      <c r="M456" s="112"/>
      <c r="N456" s="112"/>
      <c r="O456" s="112"/>
      <c r="P456" s="125"/>
      <c r="Q456" s="112"/>
      <c r="R456" s="112"/>
      <c r="S456" s="112"/>
      <c r="T456" s="112"/>
      <c r="U456" s="125"/>
    </row>
    <row r="457" spans="1:21">
      <c r="A457" s="168">
        <f ca="1">OFFSET('AFC Indiv. Fund Summary (Print)'!OvrCollRmBdCoPayBdHld, 3, 1, 1, 1)</f>
        <v>0</v>
      </c>
      <c r="B457" s="162">
        <f ca="1">OFFSET('AFC Indiv. Fund Summary (Print)'!OvrCollRmBdCoPayBdHld, 3, 0, 1, 1)</f>
        <v>0</v>
      </c>
      <c r="C457" s="116">
        <f ca="1">IF(OFFSET('AFC Indiv. Fund Summary (Print)'!OvrCollRmBdCoPayBdHld, 3, 3, 1, 1)="",0, OFFSET('AFC Indiv. Fund Summary (Print)'!OvrCollRmBdCoPayBdHld, 3, 3, 1, 1))</f>
        <v>0</v>
      </c>
      <c r="D457" s="356">
        <f ca="1">IF(OFFSET('AFC Indiv. Fund Summary (Print)'!OvrCollRmBdCoPayBdHld, 3, 2, 1, 1)=DATE(1900,1,0),DATE(1900,1,1),OFFSET('AFC Indiv. Fund Summary (Print)'!OvrCollRmBdCoPayBdHld, 3, 2, 1, 1))</f>
        <v>1</v>
      </c>
      <c r="E457" s="124"/>
      <c r="F457" s="124"/>
      <c r="G457" s="124"/>
      <c r="H457" s="124"/>
      <c r="I457" s="136"/>
      <c r="J457" s="124"/>
      <c r="K457" s="124"/>
      <c r="L457" s="112"/>
      <c r="M457" s="112"/>
      <c r="N457" s="112"/>
      <c r="O457" s="112"/>
      <c r="P457" s="125"/>
      <c r="Q457" s="112"/>
      <c r="R457" s="112"/>
      <c r="S457" s="112"/>
      <c r="T457" s="112"/>
      <c r="U457" s="125"/>
    </row>
    <row r="458" spans="1:21">
      <c r="A458" s="168">
        <f ca="1">OFFSET('AFC Indiv. Fund Summary (Print)'!OvrCollRmBdCoPayBdHld, 4, 1, 1, 1)</f>
        <v>0</v>
      </c>
      <c r="B458" s="162">
        <f ca="1">OFFSET('AFC Indiv. Fund Summary (Print)'!OvrCollRmBdCoPayBdHld, 4, 0, 1, 1)</f>
        <v>0</v>
      </c>
      <c r="C458" s="116">
        <f ca="1">IF(OFFSET('AFC Indiv. Fund Summary (Print)'!OvrCollRmBdCoPayBdHld, 4, 3, 1, 1)="",0, OFFSET('AFC Indiv. Fund Summary (Print)'!OvrCollRmBdCoPayBdHld, 4, 3, 1, 1))</f>
        <v>0</v>
      </c>
      <c r="D458" s="356">
        <f ca="1">IF(OFFSET('AFC Indiv. Fund Summary (Print)'!OvrCollRmBdCoPayBdHld, 4, 2, 1, 1)=DATE(1900,1,0),DATE(1900,1,1),OFFSET('AFC Indiv. Fund Summary (Print)'!OvrCollRmBdCoPayBdHld, 4, 2, 1, 1))</f>
        <v>1</v>
      </c>
      <c r="E458" s="124"/>
      <c r="F458" s="124"/>
      <c r="G458" s="124"/>
      <c r="H458" s="124"/>
      <c r="I458" s="136"/>
      <c r="J458" s="124"/>
      <c r="K458" s="124"/>
      <c r="L458" s="112"/>
      <c r="M458" s="112"/>
      <c r="N458" s="112"/>
      <c r="O458" s="112"/>
      <c r="P458" s="125"/>
      <c r="Q458" s="112"/>
      <c r="R458" s="112"/>
      <c r="S458" s="112"/>
      <c r="T458" s="112"/>
      <c r="U458" s="125"/>
    </row>
    <row r="459" spans="1:21">
      <c r="A459" s="168">
        <f ca="1">OFFSET('AFC Indiv. Fund Summary (Print)'!OvrCollRmBdCoPayBdHld, 5, 1, 1, 1)</f>
        <v>0</v>
      </c>
      <c r="B459" s="162">
        <f ca="1">OFFSET('AFC Indiv. Fund Summary (Print)'!OvrCollRmBdCoPayBdHld, 5, 0, 1, 1)</f>
        <v>0</v>
      </c>
      <c r="C459" s="116">
        <f ca="1">IF(OFFSET('AFC Indiv. Fund Summary (Print)'!OvrCollRmBdCoPayBdHld, 5, 3, 1, 1)="",0, OFFSET('AFC Indiv. Fund Summary (Print)'!OvrCollRmBdCoPayBdHld, 5, 3, 1, 1))</f>
        <v>0</v>
      </c>
      <c r="D459" s="356">
        <f ca="1">IF(OFFSET('AFC Indiv. Fund Summary (Print)'!OvrCollRmBdCoPayBdHld, 5, 2, 1, 1)=DATE(1900,1,0),DATE(1900,1,1),OFFSET('AFC Indiv. Fund Summary (Print)'!OvrCollRmBdCoPayBdHld, 5, 2, 1, 1))</f>
        <v>1</v>
      </c>
      <c r="E459" s="124"/>
      <c r="F459" s="124"/>
      <c r="G459" s="124"/>
      <c r="H459" s="124"/>
      <c r="I459" s="136"/>
      <c r="J459" s="124"/>
      <c r="K459" s="124"/>
      <c r="L459" s="112"/>
      <c r="M459" s="112"/>
      <c r="N459" s="112"/>
      <c r="O459" s="112"/>
      <c r="P459" s="125"/>
      <c r="Q459" s="112"/>
      <c r="R459" s="112"/>
      <c r="S459" s="112"/>
      <c r="T459" s="112"/>
      <c r="U459" s="125"/>
    </row>
    <row r="460" spans="1:21">
      <c r="A460" s="168">
        <f ca="1">OFFSET('AFC Indiv. Fund Summary (Print)'!OvrCollRmBdCoPayBdHld, 6, 1, 1, 1)</f>
        <v>0</v>
      </c>
      <c r="B460" s="162">
        <f ca="1">OFFSET('AFC Indiv. Fund Summary (Print)'!OvrCollRmBdCoPayBdHld, 6, 0, 1, 1)</f>
        <v>0</v>
      </c>
      <c r="C460" s="116">
        <f ca="1">IF(OFFSET('AFC Indiv. Fund Summary (Print)'!OvrCollRmBdCoPayBdHld, 6, 3, 1, 1)="",0, OFFSET('AFC Indiv. Fund Summary (Print)'!OvrCollRmBdCoPayBdHld, 6, 3, 1, 1))</f>
        <v>0</v>
      </c>
      <c r="D460" s="356">
        <f ca="1">IF(OFFSET('AFC Indiv. Fund Summary (Print)'!OvrCollRmBdCoPayBdHld, 6, 2, 1, 1)=DATE(1900,1,0),DATE(1900,1,1),OFFSET('AFC Indiv. Fund Summary (Print)'!OvrCollRmBdCoPayBdHld, 6, 2, 1, 1))</f>
        <v>1</v>
      </c>
      <c r="E460" s="124"/>
      <c r="F460" s="124"/>
      <c r="G460" s="124"/>
      <c r="H460" s="124"/>
      <c r="I460" s="136"/>
      <c r="J460" s="124"/>
      <c r="K460" s="124"/>
      <c r="L460" s="112"/>
      <c r="M460" s="112"/>
      <c r="N460" s="112"/>
      <c r="O460" s="112"/>
      <c r="P460" s="125"/>
      <c r="Q460" s="112"/>
      <c r="R460" s="112"/>
      <c r="S460" s="112"/>
      <c r="T460" s="112"/>
      <c r="U460" s="125"/>
    </row>
    <row r="461" spans="1:21" ht="15" thickBot="1">
      <c r="A461" s="169">
        <f ca="1">OFFSET('AFC Indiv. Fund Summary (Print)'!OvrCollRmBdCoPayBdHld, 7, 1, 1, 1)</f>
        <v>0</v>
      </c>
      <c r="B461" s="163">
        <f ca="1">OFFSET('AFC Indiv. Fund Summary (Print)'!OvrCollRmBdCoPayBdHld, 7, 0, 1, 1)</f>
        <v>0</v>
      </c>
      <c r="C461" s="117">
        <f ca="1">IF(OFFSET('AFC Indiv. Fund Summary (Print)'!OvrCollRmBdCoPayBdHld, 7, 3, 1, 1)="",0, OFFSET('AFC Indiv. Fund Summary (Print)'!OvrCollRmBdCoPayBdHld, 7, 3, 1, 1))</f>
        <v>0</v>
      </c>
      <c r="D461" s="357">
        <f ca="1">IF(OFFSET('AFC Indiv. Fund Summary (Print)'!OvrCollRmBdCoPayBdHld, 7, 2, 1, 1)=DATE(1900,1,0),DATE(1900,1,1),OFFSET('AFC Indiv. Fund Summary (Print)'!OvrCollRmBdCoPayBdHld, 7, 2, 1, 1))</f>
        <v>1</v>
      </c>
      <c r="E461" s="124"/>
      <c r="F461" s="124"/>
      <c r="G461" s="124"/>
      <c r="H461" s="124"/>
      <c r="I461" s="136"/>
      <c r="J461" s="124"/>
      <c r="K461" s="124"/>
      <c r="L461" s="112"/>
      <c r="M461" s="112"/>
      <c r="N461" s="112"/>
      <c r="O461" s="112"/>
      <c r="P461" s="125"/>
      <c r="Q461" s="112"/>
      <c r="R461" s="112"/>
      <c r="S461" s="112"/>
      <c r="T461" s="112"/>
      <c r="U461" s="125"/>
    </row>
    <row r="462" spans="1:21">
      <c r="A462" s="107"/>
      <c r="B462" s="112"/>
      <c r="C462" s="108"/>
      <c r="D462" s="113"/>
      <c r="E462" s="124"/>
      <c r="F462" s="124"/>
      <c r="G462" s="124"/>
      <c r="H462" s="124"/>
      <c r="I462" s="136"/>
      <c r="J462" s="124"/>
      <c r="K462" s="124"/>
      <c r="L462" s="112"/>
      <c r="M462" s="112"/>
      <c r="N462" s="112"/>
      <c r="O462" s="112"/>
      <c r="P462" s="125"/>
      <c r="Q462" s="112"/>
      <c r="R462" s="112"/>
      <c r="S462" s="112"/>
      <c r="T462" s="112"/>
      <c r="U462" s="125"/>
    </row>
    <row r="463" spans="1:21" ht="15" thickBot="1">
      <c r="A463" s="113" t="s">
        <v>885</v>
      </c>
      <c r="B463" s="112"/>
      <c r="C463" s="108"/>
      <c r="E463" s="124"/>
      <c r="F463" s="124"/>
      <c r="G463" s="124"/>
      <c r="H463" s="124"/>
      <c r="I463" s="136"/>
      <c r="J463" s="124"/>
      <c r="K463" s="124"/>
      <c r="L463" s="112"/>
      <c r="M463" s="112"/>
      <c r="N463" s="112"/>
      <c r="O463" s="112"/>
      <c r="P463" s="125"/>
      <c r="Q463" s="112"/>
      <c r="R463" s="112"/>
      <c r="S463" s="112"/>
      <c r="T463" s="112"/>
      <c r="U463" s="125"/>
    </row>
    <row r="464" spans="1:21">
      <c r="A464" s="129" t="s">
        <v>841</v>
      </c>
      <c r="B464" s="130" t="s">
        <v>831</v>
      </c>
      <c r="C464" s="130" t="s">
        <v>151</v>
      </c>
      <c r="D464" s="358" t="s">
        <v>1068</v>
      </c>
      <c r="E464" s="124"/>
      <c r="F464" s="124"/>
      <c r="G464" s="124"/>
      <c r="H464" s="124"/>
      <c r="I464" s="136"/>
      <c r="J464" s="124"/>
      <c r="K464" s="124"/>
      <c r="L464" s="112"/>
      <c r="M464" s="112"/>
      <c r="N464" s="112"/>
      <c r="O464" s="112"/>
      <c r="P464" s="125"/>
      <c r="Q464" s="112"/>
      <c r="R464" s="112"/>
      <c r="S464" s="112"/>
      <c r="T464" s="112"/>
      <c r="U464" s="125"/>
    </row>
    <row r="465" spans="1:21">
      <c r="A465" s="168">
        <f ca="1">OFFSET('AFC Indiv. Fund Summary (Print)'!CoPyRfndCrdtDueHsptlzdIndv, 0, 1, 1, 1)</f>
        <v>0</v>
      </c>
      <c r="B465" s="162">
        <v>33</v>
      </c>
      <c r="C465" s="116">
        <f ca="1">IF(OFFSET('AFC Indiv. Fund Summary (Print)'!CoPyRfndCrdtDueHsptlzdIndv, 0, 3, 1, 1)= "", 0, OFFSET('AFC Indiv. Fund Summary (Print)'!CoPyRfndCrdtDueHsptlzdIndv, 0, 3, 1, 1))</f>
        <v>0</v>
      </c>
      <c r="D465" s="356">
        <f ca="1">IF(OFFSET('AFC Indiv. Fund Summary (Print)'!CoPyRfndCrdtDueHsptlzdIndv, 0, 2, 1, 1)=DATE(1900,1,0),DATE(1900,1,1),OFFSET('AFC Indiv. Fund Summary (Print)'!CoPyRfndCrdtDueHsptlzdIndv, 0, 2, 1, 1))</f>
        <v>1</v>
      </c>
      <c r="E465" s="124"/>
      <c r="F465" s="124"/>
      <c r="G465" s="124"/>
      <c r="H465" s="124"/>
      <c r="I465" s="136"/>
      <c r="J465" s="124"/>
      <c r="K465" s="124"/>
      <c r="L465" s="112"/>
      <c r="M465" s="112"/>
      <c r="N465" s="112"/>
      <c r="O465" s="112"/>
      <c r="P465" s="125"/>
      <c r="Q465" s="112"/>
      <c r="R465" s="112"/>
      <c r="S465" s="112"/>
      <c r="T465" s="112"/>
      <c r="U465" s="125"/>
    </row>
    <row r="466" spans="1:21">
      <c r="A466" s="168">
        <f ca="1">OFFSET('AFC Indiv. Fund Summary (Print)'!CoPyRfndCrdtDueHsptlzdIndv, 1, 1, 1, 1)</f>
        <v>0</v>
      </c>
      <c r="B466" s="162">
        <v>33</v>
      </c>
      <c r="C466" s="116">
        <f ca="1">IF(OFFSET('AFC Indiv. Fund Summary (Print)'!CoPyRfndCrdtDueHsptlzdIndv, 1, 3, 1, 1)= "", 0, OFFSET('AFC Indiv. Fund Summary (Print)'!CoPyRfndCrdtDueHsptlzdIndv, 1, 3, 1, 1))</f>
        <v>0</v>
      </c>
      <c r="D466" s="356">
        <f ca="1">IF(OFFSET('AFC Indiv. Fund Summary (Print)'!CoPyRfndCrdtDueHsptlzdIndv, 1, 2, 1, 1)=DATE(1900,1,0),DATE(1900,1,1),OFFSET('AFC Indiv. Fund Summary (Print)'!CoPyRfndCrdtDueHsptlzdIndv, 1, 2, 1, 1))</f>
        <v>1</v>
      </c>
      <c r="E466" s="124"/>
      <c r="F466" s="124"/>
      <c r="G466" s="124"/>
      <c r="H466" s="124"/>
      <c r="I466" s="136"/>
      <c r="J466" s="124"/>
      <c r="K466" s="124"/>
      <c r="L466" s="112"/>
      <c r="M466" s="112"/>
      <c r="N466" s="112"/>
      <c r="O466" s="112"/>
      <c r="P466" s="125"/>
      <c r="Q466" s="112"/>
      <c r="R466" s="112"/>
      <c r="S466" s="112"/>
      <c r="T466" s="112"/>
      <c r="U466" s="125"/>
    </row>
    <row r="467" spans="1:21">
      <c r="A467" s="168">
        <f ca="1">OFFSET('AFC Indiv. Fund Summary (Print)'!CoPyRfndCrdtDueHsptlzdIndv, 2, 1, 1, 1)</f>
        <v>0</v>
      </c>
      <c r="B467" s="162">
        <v>33</v>
      </c>
      <c r="C467" s="116">
        <f ca="1">IF(OFFSET('AFC Indiv. Fund Summary (Print)'!CoPyRfndCrdtDueHsptlzdIndv, 2, 3, 1, 1)= "", 0, OFFSET('AFC Indiv. Fund Summary (Print)'!CoPyRfndCrdtDueHsptlzdIndv, 2, 3, 1, 1))</f>
        <v>0</v>
      </c>
      <c r="D467" s="356">
        <f ca="1">IF(OFFSET('AFC Indiv. Fund Summary (Print)'!CoPyRfndCrdtDueHsptlzdIndv, 2, 2, 1, 1)=DATE(1900,1,0),DATE(1900,1,1),OFFSET('AFC Indiv. Fund Summary (Print)'!CoPyRfndCrdtDueHsptlzdIndv, 2, 2, 1, 1))</f>
        <v>1</v>
      </c>
      <c r="E467" s="124"/>
      <c r="F467" s="124"/>
      <c r="G467" s="124"/>
      <c r="H467" s="124"/>
      <c r="I467" s="136"/>
      <c r="J467" s="124"/>
      <c r="K467" s="124"/>
      <c r="L467" s="112"/>
      <c r="M467" s="112"/>
      <c r="N467" s="112"/>
      <c r="O467" s="112"/>
      <c r="P467" s="125"/>
      <c r="Q467" s="112"/>
      <c r="R467" s="112"/>
      <c r="S467" s="112"/>
      <c r="T467" s="112"/>
      <c r="U467" s="125"/>
    </row>
    <row r="468" spans="1:21">
      <c r="A468" s="168">
        <f ca="1">OFFSET('AFC Indiv. Fund Summary (Print)'!CoPyRfndCrdtDueHsptlzdIndv, 3, 1, 1, 1)</f>
        <v>0</v>
      </c>
      <c r="B468" s="162">
        <v>33</v>
      </c>
      <c r="C468" s="116">
        <f ca="1">IF(OFFSET('AFC Indiv. Fund Summary (Print)'!CoPyRfndCrdtDueHsptlzdIndv, 3, 3, 1, 1)= "", 0, OFFSET('AFC Indiv. Fund Summary (Print)'!CoPyRfndCrdtDueHsptlzdIndv, 3, 3, 1, 1))</f>
        <v>0</v>
      </c>
      <c r="D468" s="356">
        <f ca="1">IF(OFFSET('AFC Indiv. Fund Summary (Print)'!CoPyRfndCrdtDueHsptlzdIndv, 3, 2, 1, 1)=DATE(1900,1,0),DATE(1900,1,1),OFFSET('AFC Indiv. Fund Summary (Print)'!CoPyRfndCrdtDueHsptlzdIndv, 3, 2, 1, 1))</f>
        <v>1</v>
      </c>
      <c r="E468" s="124"/>
      <c r="F468" s="124"/>
      <c r="G468" s="124"/>
      <c r="H468" s="124"/>
      <c r="I468" s="136"/>
      <c r="J468" s="124"/>
      <c r="K468" s="124"/>
      <c r="L468" s="112"/>
      <c r="M468" s="112"/>
      <c r="N468" s="112"/>
      <c r="O468" s="112"/>
      <c r="P468" s="125"/>
      <c r="Q468" s="112"/>
      <c r="R468" s="112"/>
      <c r="S468" s="112"/>
      <c r="T468" s="112"/>
      <c r="U468" s="125"/>
    </row>
    <row r="469" spans="1:21">
      <c r="A469" s="168">
        <f ca="1">OFFSET('AFC Indiv. Fund Summary (Print)'!CoPyRfndCrdtDueHsptlzdIndv, 4, 1, 1, 1)</f>
        <v>0</v>
      </c>
      <c r="B469" s="162">
        <v>33</v>
      </c>
      <c r="C469" s="116">
        <f ca="1">IF(OFFSET('AFC Indiv. Fund Summary (Print)'!CoPyRfndCrdtDueHsptlzdIndv, 4, 3, 1, 1)= "", 0, OFFSET('AFC Indiv. Fund Summary (Print)'!CoPyRfndCrdtDueHsptlzdIndv, 4, 3, 1, 1))</f>
        <v>0</v>
      </c>
      <c r="D469" s="356">
        <f ca="1">IF(OFFSET('AFC Indiv. Fund Summary (Print)'!CoPyRfndCrdtDueHsptlzdIndv, 4, 2, 1, 1)=DATE(1900,1,0),DATE(1900,1,1),OFFSET('AFC Indiv. Fund Summary (Print)'!CoPyRfndCrdtDueHsptlzdIndv, 4, 2, 1, 1))</f>
        <v>1</v>
      </c>
      <c r="E469" s="124"/>
      <c r="F469" s="124"/>
      <c r="G469" s="124"/>
      <c r="H469" s="124"/>
      <c r="I469" s="136"/>
      <c r="J469" s="124"/>
      <c r="K469" s="124"/>
      <c r="L469" s="112"/>
      <c r="M469" s="112"/>
      <c r="N469" s="112"/>
      <c r="O469" s="112"/>
      <c r="P469" s="125"/>
      <c r="Q469" s="112"/>
      <c r="R469" s="112"/>
      <c r="S469" s="112"/>
      <c r="T469" s="112"/>
      <c r="U469" s="125"/>
    </row>
    <row r="470" spans="1:21">
      <c r="A470" s="168">
        <f ca="1">OFFSET('AFC Indiv. Fund Summary (Print)'!CoPyRfndCrdtDueHsptlzdIndv, 5, 1, 1, 1)</f>
        <v>0</v>
      </c>
      <c r="B470" s="162">
        <v>33</v>
      </c>
      <c r="C470" s="116">
        <f ca="1">IF(OFFSET('AFC Indiv. Fund Summary (Print)'!CoPyRfndCrdtDueHsptlzdIndv, 5, 3, 1, 1)= "", 0, OFFSET('AFC Indiv. Fund Summary (Print)'!CoPyRfndCrdtDueHsptlzdIndv, 5, 3, 1, 1))</f>
        <v>0</v>
      </c>
      <c r="D470" s="356">
        <f ca="1">IF(OFFSET('AFC Indiv. Fund Summary (Print)'!CoPyRfndCrdtDueHsptlzdIndv, 5, 2, 1, 1)=DATE(1900,1,0),DATE(1900,1,1),OFFSET('AFC Indiv. Fund Summary (Print)'!CoPyRfndCrdtDueHsptlzdIndv, 5, 2, 1, 1))</f>
        <v>1</v>
      </c>
      <c r="E470" s="124"/>
      <c r="F470" s="124"/>
      <c r="G470" s="124"/>
      <c r="H470" s="124"/>
      <c r="I470" s="136"/>
      <c r="J470" s="124"/>
      <c r="K470" s="124"/>
      <c r="L470" s="112"/>
      <c r="M470" s="112"/>
      <c r="N470" s="112"/>
      <c r="O470" s="112"/>
      <c r="P470" s="125"/>
      <c r="Q470" s="112"/>
      <c r="R470" s="112"/>
      <c r="S470" s="112"/>
      <c r="T470" s="112"/>
      <c r="U470" s="125"/>
    </row>
    <row r="471" spans="1:21">
      <c r="A471" s="168">
        <f ca="1">OFFSET('AFC Indiv. Fund Summary (Print)'!CoPyRfndCrdtDueHsptlzdIndv, 6, 1, 1, 1)</f>
        <v>0</v>
      </c>
      <c r="B471" s="162">
        <v>33</v>
      </c>
      <c r="C471" s="116">
        <f ca="1">IF(OFFSET('AFC Indiv. Fund Summary (Print)'!CoPyRfndCrdtDueHsptlzdIndv, 6, 3, 1, 1)= "", 0, OFFSET('AFC Indiv. Fund Summary (Print)'!CoPyRfndCrdtDueHsptlzdIndv, 6, 3, 1, 1))</f>
        <v>0</v>
      </c>
      <c r="D471" s="356">
        <f ca="1">IF(OFFSET('AFC Indiv. Fund Summary (Print)'!CoPyRfndCrdtDueHsptlzdIndv, 6, 2, 1, 1)=DATE(1900,1,0),DATE(1900,1,1),OFFSET('AFC Indiv. Fund Summary (Print)'!CoPyRfndCrdtDueHsptlzdIndv, 6, 2, 1, 1))</f>
        <v>1</v>
      </c>
      <c r="E471" s="124"/>
      <c r="F471" s="124"/>
      <c r="G471" s="124"/>
      <c r="H471" s="124"/>
      <c r="I471" s="136"/>
      <c r="J471" s="124"/>
      <c r="K471" s="124"/>
      <c r="L471" s="112"/>
      <c r="M471" s="112"/>
      <c r="N471" s="112"/>
      <c r="O471" s="112"/>
      <c r="P471" s="125"/>
      <c r="Q471" s="112"/>
      <c r="R471" s="112"/>
      <c r="S471" s="112"/>
      <c r="T471" s="112"/>
      <c r="U471" s="125"/>
    </row>
    <row r="472" spans="1:21" ht="15" thickBot="1">
      <c r="A472" s="169">
        <f ca="1">OFFSET('AFC Indiv. Fund Summary (Print)'!CoPyRfndCrdtDueHsptlzdIndv, 7, 1, 1, 1)</f>
        <v>0</v>
      </c>
      <c r="B472" s="163">
        <v>33</v>
      </c>
      <c r="C472" s="117">
        <f ca="1">IF(OFFSET('AFC Indiv. Fund Summary (Print)'!CoPyRfndCrdtDueHsptlzdIndv, 7, 3, 1, 1)= "", 0, OFFSET('AFC Indiv. Fund Summary (Print)'!CoPyRfndCrdtDueHsptlzdIndv, 7, 3, 1, 1))</f>
        <v>0</v>
      </c>
      <c r="D472" s="357">
        <f ca="1">IF(OFFSET('AFC Indiv. Fund Summary (Print)'!CoPyRfndCrdtDueHsptlzdIndv, 7, 2, 1, 1)=DATE(1900,1,0),DATE(1900,1,1),OFFSET('AFC Indiv. Fund Summary (Print)'!CoPyRfndCrdtDueHsptlzdIndv, 7, 2, 1, 1))</f>
        <v>1</v>
      </c>
      <c r="E472" s="124"/>
      <c r="F472" s="124"/>
      <c r="G472" s="124"/>
      <c r="H472" s="124"/>
      <c r="I472" s="136"/>
      <c r="J472" s="124"/>
      <c r="K472" s="124"/>
      <c r="L472" s="112"/>
      <c r="M472" s="112"/>
      <c r="N472" s="112"/>
      <c r="O472" s="112"/>
      <c r="P472" s="125"/>
      <c r="Q472" s="112"/>
      <c r="R472" s="112"/>
      <c r="S472" s="112"/>
      <c r="T472" s="112"/>
      <c r="U472" s="125"/>
    </row>
    <row r="473" spans="1:21">
      <c r="A473" s="135"/>
      <c r="B473" s="124"/>
      <c r="C473" s="124"/>
      <c r="D473" s="124"/>
      <c r="E473" s="124"/>
      <c r="F473" s="124"/>
      <c r="G473" s="124"/>
      <c r="H473" s="124"/>
      <c r="I473" s="136"/>
      <c r="J473" s="124"/>
      <c r="K473" s="124"/>
      <c r="L473" s="112"/>
      <c r="M473" s="112"/>
      <c r="N473" s="112"/>
      <c r="O473" s="112"/>
      <c r="P473" s="125"/>
      <c r="Q473" s="112"/>
      <c r="R473" s="112"/>
      <c r="S473" s="112"/>
      <c r="T473" s="112"/>
      <c r="U473" s="125"/>
    </row>
    <row r="474" spans="1:21" ht="15" thickBot="1">
      <c r="A474" s="135" t="s">
        <v>893</v>
      </c>
      <c r="B474" s="124"/>
      <c r="C474" s="124"/>
      <c r="D474" s="124"/>
      <c r="E474" s="124"/>
      <c r="F474" s="124"/>
      <c r="G474" s="124"/>
      <c r="H474" s="124"/>
      <c r="I474" s="136"/>
      <c r="J474" s="124"/>
      <c r="K474" s="124"/>
      <c r="L474" s="112"/>
      <c r="M474" s="112"/>
      <c r="N474" s="112"/>
      <c r="O474" s="112"/>
      <c r="P474" s="125"/>
      <c r="Q474" s="112"/>
      <c r="R474" s="112"/>
      <c r="S474" s="112"/>
      <c r="T474" s="112"/>
      <c r="U474" s="125"/>
    </row>
    <row r="475" spans="1:21">
      <c r="A475" s="129" t="s">
        <v>841</v>
      </c>
      <c r="B475" s="130" t="s">
        <v>831</v>
      </c>
      <c r="C475" s="130" t="s">
        <v>843</v>
      </c>
      <c r="D475" s="131" t="s">
        <v>845</v>
      </c>
      <c r="E475" s="124"/>
      <c r="F475" s="124"/>
      <c r="G475" s="124"/>
      <c r="H475" s="124"/>
      <c r="I475" s="136"/>
      <c r="J475" s="124"/>
      <c r="K475" s="124"/>
      <c r="L475" s="112"/>
      <c r="M475" s="112"/>
      <c r="N475" s="112"/>
      <c r="O475" s="112"/>
      <c r="P475" s="125"/>
      <c r="Q475" s="112"/>
      <c r="R475" s="112"/>
      <c r="S475" s="112"/>
      <c r="T475" s="112"/>
      <c r="U475" s="125"/>
    </row>
    <row r="476" spans="1:21">
      <c r="A476" s="168">
        <f ca="1">OFFSET('AFC Indiv. Fund Summary (Print)'!UnsdRmBdPrrtdCoPyDueDcsdDschdIndv, 0, 1, 1, 1)</f>
        <v>0</v>
      </c>
      <c r="B476" s="162">
        <f ca="1">OFFSET('AFC Indiv. Fund Summary (Print)'!UnsdRmBdPrrtdCoPyDueDcsdDschdIndv, 0, 0, 1, 1)</f>
        <v>0</v>
      </c>
      <c r="C476" s="108">
        <f ca="1">IF(OFFSET('AFC Indiv. Fund Summary (Print)'!UnsdRmBdPrrtdCoPyDueDcsdDschdIndv, 0, 2, 1, 1) =DATE(1900,1,0),DATE(1900,1,1),OFFSET('AFC Indiv. Fund Summary (Print)'!UnsdRmBdPrrtdCoPyDueDcsdDschdIndv, 0, 2, 1, 1))</f>
        <v>1</v>
      </c>
      <c r="D476" s="166">
        <f ca="1">IF(OFFSET('AFC Indiv. Fund Summary (Print)'!UnsdRmBdPrrtdCoPyDueDcsdDschdIndv, 0, 3, 1, 1)="",0,OFFSET('AFC Indiv. Fund Summary (Print)'!UnsdRmBdPrrtdCoPyDueDcsdDschdIndv, 0, 3, 1, 1))</f>
        <v>0</v>
      </c>
      <c r="E476" s="124"/>
      <c r="F476" s="124"/>
      <c r="G476" s="124"/>
      <c r="H476" s="124"/>
      <c r="I476" s="136"/>
      <c r="J476" s="124"/>
      <c r="K476" s="124"/>
      <c r="L476" s="112"/>
      <c r="M476" s="112"/>
      <c r="N476" s="112"/>
      <c r="O476" s="112"/>
      <c r="P476" s="125"/>
      <c r="Q476" s="112"/>
      <c r="R476" s="112"/>
      <c r="S476" s="112"/>
      <c r="T476" s="112"/>
      <c r="U476" s="125"/>
    </row>
    <row r="477" spans="1:21">
      <c r="A477" s="168">
        <f ca="1">OFFSET('AFC Indiv. Fund Summary (Print)'!UnsdRmBdPrrtdCoPyDueDcsdDschdIndv, 1, 1, 1, 1)</f>
        <v>0</v>
      </c>
      <c r="B477" s="162">
        <f ca="1">OFFSET('AFC Indiv. Fund Summary (Print)'!UnsdRmBdPrrtdCoPyDueDcsdDschdIndv, 1, 0, 1, 1)</f>
        <v>0</v>
      </c>
      <c r="C477" s="108">
        <f ca="1">IF(OFFSET('AFC Indiv. Fund Summary (Print)'!UnsdRmBdPrrtdCoPyDueDcsdDschdIndv, 1, 2, 1, 1) =DATE(1900,1,0),DATE(1900,1,1),OFFSET('AFC Indiv. Fund Summary (Print)'!UnsdRmBdPrrtdCoPyDueDcsdDschdIndv, 1, 2, 1, 1))</f>
        <v>1</v>
      </c>
      <c r="D477" s="166">
        <f ca="1">IF(OFFSET('AFC Indiv. Fund Summary (Print)'!UnsdRmBdPrrtdCoPyDueDcsdDschdIndv, 1, 3, 1, 1)="",0,OFFSET('AFC Indiv. Fund Summary (Print)'!UnsdRmBdPrrtdCoPyDueDcsdDschdIndv, 1, 3, 1, 1))</f>
        <v>0</v>
      </c>
      <c r="E477" s="124"/>
      <c r="F477" s="124"/>
      <c r="G477" s="124"/>
      <c r="H477" s="124"/>
      <c r="I477" s="136"/>
      <c r="J477" s="124"/>
      <c r="K477" s="124"/>
      <c r="L477" s="112"/>
      <c r="M477" s="112"/>
      <c r="N477" s="112"/>
      <c r="O477" s="112"/>
      <c r="P477" s="125"/>
      <c r="Q477" s="112"/>
      <c r="R477" s="112"/>
      <c r="S477" s="112"/>
      <c r="T477" s="112"/>
      <c r="U477" s="125"/>
    </row>
    <row r="478" spans="1:21">
      <c r="A478" s="168">
        <f ca="1">OFFSET('AFC Indiv. Fund Summary (Print)'!UnsdRmBdPrrtdCoPyDueDcsdDschdIndv, 2, 1, 1, 1)</f>
        <v>0</v>
      </c>
      <c r="B478" s="162">
        <f ca="1">OFFSET('AFC Indiv. Fund Summary (Print)'!UnsdRmBdPrrtdCoPyDueDcsdDschdIndv, 2, 0, 1, 1)</f>
        <v>0</v>
      </c>
      <c r="C478" s="108">
        <f ca="1">IF(OFFSET('AFC Indiv. Fund Summary (Print)'!UnsdRmBdPrrtdCoPyDueDcsdDschdIndv, 2, 2, 1, 1) =DATE(1900,1,0),DATE(1900,1,1),OFFSET('AFC Indiv. Fund Summary (Print)'!UnsdRmBdPrrtdCoPyDueDcsdDschdIndv, 2, 2, 1, 1))</f>
        <v>1</v>
      </c>
      <c r="D478" s="166">
        <f ca="1">IF(OFFSET('AFC Indiv. Fund Summary (Print)'!UnsdRmBdPrrtdCoPyDueDcsdDschdIndv, 2, 3, 1, 1)="",0,OFFSET('AFC Indiv. Fund Summary (Print)'!UnsdRmBdPrrtdCoPyDueDcsdDschdIndv, 2, 3, 1, 1))</f>
        <v>0</v>
      </c>
      <c r="E478" s="124"/>
      <c r="F478" s="124"/>
      <c r="G478" s="124"/>
      <c r="H478" s="124"/>
      <c r="I478" s="136"/>
      <c r="J478" s="124"/>
      <c r="K478" s="124"/>
      <c r="L478" s="112"/>
      <c r="M478" s="112"/>
      <c r="N478" s="112"/>
      <c r="O478" s="112"/>
      <c r="P478" s="125"/>
      <c r="Q478" s="112"/>
      <c r="R478" s="112"/>
      <c r="S478" s="112"/>
      <c r="T478" s="112"/>
      <c r="U478" s="125"/>
    </row>
    <row r="479" spans="1:21">
      <c r="A479" s="168">
        <f ca="1">OFFSET('AFC Indiv. Fund Summary (Print)'!UnsdRmBdPrrtdCoPyDueDcsdDschdIndv, 3, 1, 1, 1)</f>
        <v>0</v>
      </c>
      <c r="B479" s="162">
        <f ca="1">OFFSET('AFC Indiv. Fund Summary (Print)'!UnsdRmBdPrrtdCoPyDueDcsdDschdIndv, 3, 0, 1, 1)</f>
        <v>0</v>
      </c>
      <c r="C479" s="108">
        <f ca="1">IF(OFFSET('AFC Indiv. Fund Summary (Print)'!UnsdRmBdPrrtdCoPyDueDcsdDschdIndv, 3, 2, 1, 1) =DATE(1900,1,0),DATE(1900,1,1),OFFSET('AFC Indiv. Fund Summary (Print)'!UnsdRmBdPrrtdCoPyDueDcsdDschdIndv, 3, 2, 1, 1))</f>
        <v>1</v>
      </c>
      <c r="D479" s="166">
        <f ca="1">IF(OFFSET('AFC Indiv. Fund Summary (Print)'!UnsdRmBdPrrtdCoPyDueDcsdDschdIndv, 3, 3, 1, 1)="",0,OFFSET('AFC Indiv. Fund Summary (Print)'!UnsdRmBdPrrtdCoPyDueDcsdDschdIndv, 3, 3, 1, 1))</f>
        <v>0</v>
      </c>
      <c r="E479" s="124"/>
      <c r="F479" s="124"/>
      <c r="G479" s="124"/>
      <c r="H479" s="124"/>
      <c r="I479" s="136"/>
      <c r="J479" s="124"/>
      <c r="K479" s="124"/>
      <c r="L479" s="112"/>
      <c r="M479" s="112"/>
      <c r="N479" s="112"/>
      <c r="O479" s="112"/>
      <c r="P479" s="125"/>
      <c r="Q479" s="112"/>
      <c r="R479" s="112"/>
      <c r="S479" s="112"/>
      <c r="T479" s="112"/>
      <c r="U479" s="125"/>
    </row>
    <row r="480" spans="1:21">
      <c r="A480" s="168">
        <f ca="1">OFFSET('AFC Indiv. Fund Summary (Print)'!UnsdRmBdPrrtdCoPyDueDcsdDschdIndv, 4, 1, 1, 1)</f>
        <v>0</v>
      </c>
      <c r="B480" s="162">
        <f ca="1">OFFSET('AFC Indiv. Fund Summary (Print)'!UnsdRmBdPrrtdCoPyDueDcsdDschdIndv, 4, 0, 1, 1)</f>
        <v>0</v>
      </c>
      <c r="C480" s="108">
        <f ca="1">IF(OFFSET('AFC Indiv. Fund Summary (Print)'!UnsdRmBdPrrtdCoPyDueDcsdDschdIndv, 4, 2, 1, 1) =DATE(1900,1,0),DATE(1900,1,1),OFFSET('AFC Indiv. Fund Summary (Print)'!UnsdRmBdPrrtdCoPyDueDcsdDschdIndv, 4, 2, 1, 1))</f>
        <v>1</v>
      </c>
      <c r="D480" s="166">
        <f ca="1">IF(OFFSET('AFC Indiv. Fund Summary (Print)'!UnsdRmBdPrrtdCoPyDueDcsdDschdIndv, 4, 3, 1, 1)="",0,OFFSET('AFC Indiv. Fund Summary (Print)'!UnsdRmBdPrrtdCoPyDueDcsdDschdIndv, 4, 3, 1, 1))</f>
        <v>0</v>
      </c>
      <c r="I480" s="121"/>
    </row>
    <row r="481" spans="1:104">
      <c r="A481" s="168">
        <f ca="1">OFFSET('AFC Indiv. Fund Summary (Print)'!UnsdRmBdPrrtdCoPyDueDcsdDschdIndv, 5, 1, 1, 1)</f>
        <v>0</v>
      </c>
      <c r="B481" s="162">
        <f ca="1">OFFSET('AFC Indiv. Fund Summary (Print)'!UnsdRmBdPrrtdCoPyDueDcsdDschdIndv, 5, 0, 1, 1)</f>
        <v>0</v>
      </c>
      <c r="C481" s="108">
        <f ca="1">IF(OFFSET('AFC Indiv. Fund Summary (Print)'!UnsdRmBdPrrtdCoPyDueDcsdDschdIndv, 5, 2, 1, 1) =DATE(1900,1,0),DATE(1900,1,1),OFFSET('AFC Indiv. Fund Summary (Print)'!UnsdRmBdPrrtdCoPyDueDcsdDschdIndv, 5, 2, 1, 1))</f>
        <v>1</v>
      </c>
      <c r="D481" s="166">
        <f ca="1">IF(OFFSET('AFC Indiv. Fund Summary (Print)'!UnsdRmBdPrrtdCoPyDueDcsdDschdIndv, 5, 3, 1, 1)="",0,OFFSET('AFC Indiv. Fund Summary (Print)'!UnsdRmBdPrrtdCoPyDueDcsdDschdIndv, 5, 3, 1, 1))</f>
        <v>0</v>
      </c>
      <c r="I481" s="121"/>
    </row>
    <row r="482" spans="1:104">
      <c r="A482" s="168">
        <f ca="1">OFFSET('AFC Indiv. Fund Summary (Print)'!UnsdRmBdPrrtdCoPyDueDcsdDschdIndv, 6, 1, 1, 1)</f>
        <v>0</v>
      </c>
      <c r="B482" s="162">
        <f ca="1">OFFSET('AFC Indiv. Fund Summary (Print)'!UnsdRmBdPrrtdCoPyDueDcsdDschdIndv, 6, 0, 1, 1)</f>
        <v>0</v>
      </c>
      <c r="C482" s="108">
        <f ca="1">IF(OFFSET('AFC Indiv. Fund Summary (Print)'!UnsdRmBdPrrtdCoPyDueDcsdDschdIndv, 6, 2, 1, 1) =DATE(1900,1,0),DATE(1900,1,1),OFFSET('AFC Indiv. Fund Summary (Print)'!UnsdRmBdPrrtdCoPyDueDcsdDschdIndv, 6, 2, 1, 1))</f>
        <v>1</v>
      </c>
      <c r="D482" s="166">
        <f ca="1">IF(OFFSET('AFC Indiv. Fund Summary (Print)'!UnsdRmBdPrrtdCoPyDueDcsdDschdIndv, 6, 3, 1, 1)="",0,OFFSET('AFC Indiv. Fund Summary (Print)'!UnsdRmBdPrrtdCoPyDueDcsdDschdIndv, 6, 3, 1, 1))</f>
        <v>0</v>
      </c>
      <c r="I482" s="121"/>
    </row>
    <row r="483" spans="1:104" ht="15" thickBot="1">
      <c r="A483" s="169">
        <f ca="1">OFFSET('AFC Indiv. Fund Summary (Print)'!UnsdRmBdPrrtdCoPyDueDcsdDschdIndv, 7, 1, 1, 1)</f>
        <v>0</v>
      </c>
      <c r="B483" s="163">
        <f ca="1">OFFSET('AFC Indiv. Fund Summary (Print)'!UnsdRmBdPrrtdCoPyDueDcsdDschdIndv, 7, 0, 1, 1)</f>
        <v>0</v>
      </c>
      <c r="C483" s="110">
        <f ca="1">IF(OFFSET('AFC Indiv. Fund Summary (Print)'!UnsdRmBdPrrtdCoPyDueDcsdDschdIndv, 7, 2, 1, 1) =DATE(1900,1,0),DATE(1900,1,1),OFFSET('AFC Indiv. Fund Summary (Print)'!UnsdRmBdPrrtdCoPyDueDcsdDschdIndv, 7, 2, 1, 1))</f>
        <v>1</v>
      </c>
      <c r="D483" s="167">
        <f ca="1">IF(OFFSET('AFC Indiv. Fund Summary (Print)'!UnsdRmBdPrrtdCoPyDueDcsdDschdIndv, 7, 3, 1, 1)="",0,OFFSET('AFC Indiv. Fund Summary (Print)'!UnsdRmBdPrrtdCoPyDueDcsdDschdIndv, 7, 3, 1, 1))</f>
        <v>0</v>
      </c>
      <c r="I483" s="121"/>
    </row>
    <row r="484" spans="1:104" ht="15" thickBot="1">
      <c r="A484" s="109"/>
      <c r="B484" s="114"/>
      <c r="C484" s="110"/>
      <c r="D484" s="115"/>
      <c r="E484" s="99"/>
      <c r="F484" s="99"/>
      <c r="G484" s="99"/>
      <c r="H484" s="99"/>
      <c r="I484" s="122"/>
    </row>
    <row r="485" spans="1:104">
      <c r="A485" s="112"/>
      <c r="B485" s="112"/>
      <c r="C485" s="108"/>
      <c r="D485" s="113"/>
    </row>
    <row r="486" spans="1:104" ht="15" thickBot="1">
      <c r="A486" t="s">
        <v>886</v>
      </c>
    </row>
    <row r="487" spans="1:104" s="95" customFormat="1" ht="43.5">
      <c r="A487" s="96" t="s">
        <v>725</v>
      </c>
      <c r="B487" s="97" t="s">
        <v>580</v>
      </c>
      <c r="C487" s="97" t="s">
        <v>581</v>
      </c>
      <c r="D487" s="102" t="s">
        <v>726</v>
      </c>
      <c r="E487" s="102" t="s">
        <v>699</v>
      </c>
      <c r="F487" s="211" t="s">
        <v>700</v>
      </c>
      <c r="G487" s="211" t="s">
        <v>701</v>
      </c>
      <c r="H487" s="102" t="s">
        <v>573</v>
      </c>
      <c r="I487" s="102" t="s">
        <v>572</v>
      </c>
      <c r="J487" s="102" t="s">
        <v>577</v>
      </c>
      <c r="K487" s="102" t="s">
        <v>578</v>
      </c>
      <c r="L487" s="102" t="s">
        <v>727</v>
      </c>
      <c r="M487" s="102" t="s">
        <v>728</v>
      </c>
      <c r="N487" s="102" t="s">
        <v>752</v>
      </c>
      <c r="O487" s="102" t="s">
        <v>729</v>
      </c>
      <c r="P487" s="102" t="s">
        <v>753</v>
      </c>
      <c r="Q487" s="102" t="s">
        <v>730</v>
      </c>
      <c r="R487" s="102" t="s">
        <v>1001</v>
      </c>
      <c r="S487" s="102" t="s">
        <v>1000</v>
      </c>
      <c r="T487" s="102" t="s">
        <v>731</v>
      </c>
      <c r="U487" s="102" t="s">
        <v>750</v>
      </c>
      <c r="V487" s="102" t="s">
        <v>751</v>
      </c>
      <c r="W487" s="102" t="s">
        <v>754</v>
      </c>
      <c r="X487" s="102" t="s">
        <v>755</v>
      </c>
      <c r="Y487" s="102" t="s">
        <v>756</v>
      </c>
      <c r="Z487" s="102" t="s">
        <v>757</v>
      </c>
      <c r="AA487" s="102" t="s">
        <v>1128</v>
      </c>
      <c r="AB487" s="102" t="s">
        <v>1129</v>
      </c>
      <c r="AC487" s="102" t="s">
        <v>732</v>
      </c>
      <c r="AD487" s="102" t="s">
        <v>733</v>
      </c>
      <c r="AE487" s="102" t="s">
        <v>734</v>
      </c>
      <c r="AF487" s="102" t="s">
        <v>758</v>
      </c>
      <c r="AG487" s="102" t="s">
        <v>735</v>
      </c>
      <c r="AH487" s="102" t="s">
        <v>759</v>
      </c>
      <c r="AI487" s="102" t="s">
        <v>736</v>
      </c>
      <c r="AJ487" s="102" t="s">
        <v>737</v>
      </c>
      <c r="AK487" s="102" t="s">
        <v>760</v>
      </c>
      <c r="AL487" s="102" t="s">
        <v>761</v>
      </c>
      <c r="AM487" s="102" t="s">
        <v>762</v>
      </c>
      <c r="AN487" s="102" t="s">
        <v>763</v>
      </c>
      <c r="AO487" s="102" t="s">
        <v>764</v>
      </c>
      <c r="AP487" s="102" t="s">
        <v>765</v>
      </c>
      <c r="AQ487" s="102" t="s">
        <v>738</v>
      </c>
      <c r="AR487" s="102" t="s">
        <v>766</v>
      </c>
      <c r="AS487" s="102" t="s">
        <v>767</v>
      </c>
      <c r="AT487" s="102" t="s">
        <v>768</v>
      </c>
      <c r="AU487" s="102" t="s">
        <v>769</v>
      </c>
      <c r="AV487" s="102" t="s">
        <v>770</v>
      </c>
      <c r="AW487" s="102" t="s">
        <v>771</v>
      </c>
      <c r="AX487" s="102" t="s">
        <v>772</v>
      </c>
      <c r="AY487" s="102" t="s">
        <v>773</v>
      </c>
      <c r="AZ487" s="102" t="s">
        <v>774</v>
      </c>
      <c r="BA487" s="102" t="s">
        <v>775</v>
      </c>
      <c r="BB487" s="102" t="s">
        <v>776</v>
      </c>
      <c r="BC487" s="102" t="s">
        <v>777</v>
      </c>
      <c r="BD487" s="102" t="s">
        <v>778</v>
      </c>
      <c r="BE487" s="102" t="s">
        <v>779</v>
      </c>
      <c r="BF487" s="102" t="s">
        <v>780</v>
      </c>
      <c r="BG487" s="102" t="s">
        <v>781</v>
      </c>
      <c r="BH487" s="102" t="s">
        <v>782</v>
      </c>
      <c r="BI487" s="102" t="s">
        <v>783</v>
      </c>
      <c r="BJ487" s="102" t="s">
        <v>784</v>
      </c>
      <c r="BK487" s="102" t="s">
        <v>785</v>
      </c>
      <c r="BL487" s="102" t="s">
        <v>740</v>
      </c>
      <c r="BM487" s="102" t="s">
        <v>789</v>
      </c>
      <c r="BN487" s="102" t="s">
        <v>786</v>
      </c>
      <c r="BO487" s="102" t="s">
        <v>788</v>
      </c>
      <c r="BP487" s="102" t="s">
        <v>787</v>
      </c>
      <c r="BQ487" s="102" t="s">
        <v>739</v>
      </c>
      <c r="BR487" s="102" t="s">
        <v>790</v>
      </c>
      <c r="BS487" s="102" t="s">
        <v>791</v>
      </c>
      <c r="BT487" s="102" t="s">
        <v>793</v>
      </c>
      <c r="BU487" s="102" t="s">
        <v>792</v>
      </c>
      <c r="BV487" s="102" t="s">
        <v>794</v>
      </c>
      <c r="BW487" s="102" t="s">
        <v>741</v>
      </c>
      <c r="BX487" s="102" t="s">
        <v>795</v>
      </c>
      <c r="BY487" s="102" t="s">
        <v>742</v>
      </c>
      <c r="BZ487" s="102" t="s">
        <v>796</v>
      </c>
      <c r="CA487" s="102" t="s">
        <v>797</v>
      </c>
      <c r="CB487" s="102" t="s">
        <v>798</v>
      </c>
      <c r="CC487" s="102" t="s">
        <v>799</v>
      </c>
      <c r="CD487" s="102" t="s">
        <v>800</v>
      </c>
      <c r="CE487" s="102" t="s">
        <v>801</v>
      </c>
      <c r="CF487" s="102" t="s">
        <v>802</v>
      </c>
      <c r="CG487" s="102" t="s">
        <v>803</v>
      </c>
      <c r="CH487" s="102" t="s">
        <v>743</v>
      </c>
      <c r="CI487" s="102" t="s">
        <v>744</v>
      </c>
      <c r="CJ487" s="102" t="s">
        <v>745</v>
      </c>
      <c r="CK487" s="102" t="s">
        <v>804</v>
      </c>
      <c r="CL487" s="102" t="s">
        <v>807</v>
      </c>
      <c r="CM487" s="97" t="s">
        <v>806</v>
      </c>
      <c r="CN487" s="97" t="s">
        <v>805</v>
      </c>
      <c r="CO487" s="97" t="s">
        <v>808</v>
      </c>
      <c r="CP487" s="97" t="s">
        <v>809</v>
      </c>
      <c r="CQ487" s="97" t="s">
        <v>810</v>
      </c>
      <c r="CR487" s="97" t="s">
        <v>811</v>
      </c>
      <c r="CS487" s="97" t="s">
        <v>812</v>
      </c>
      <c r="CT487" s="97" t="s">
        <v>813</v>
      </c>
      <c r="CU487" s="97" t="s">
        <v>814</v>
      </c>
      <c r="CV487" s="97" t="s">
        <v>815</v>
      </c>
      <c r="CW487" s="97" t="s">
        <v>816</v>
      </c>
      <c r="CX487" s="97" t="s">
        <v>746</v>
      </c>
      <c r="CY487" s="97" t="s">
        <v>988</v>
      </c>
      <c r="CZ487" s="98" t="s">
        <v>989</v>
      </c>
    </row>
    <row r="488" spans="1:104">
      <c r="A488" s="160" t="s">
        <v>747</v>
      </c>
      <c r="B488" s="108">
        <f>IF('Samples (Print)'!D5=DATE(1900,1,0),DATE(1900,1,1),'Samples (Print)'!D5)</f>
        <v>1</v>
      </c>
      <c r="C488" s="108">
        <f>IF('Samples (Print)'!E5=DATE(1900,1,0),DATE(1900,1,1),'Samples (Print)'!E5)</f>
        <v>1</v>
      </c>
      <c r="D488" s="162">
        <f>'IWP01'!SampleNumber</f>
        <v>1</v>
      </c>
      <c r="E488" s="162" t="str">
        <f ca="1">'IWP01'!ClientID</f>
        <v/>
      </c>
      <c r="F488" s="220"/>
      <c r="G488" s="220"/>
      <c r="H488" s="159" t="str">
        <f ca="1">IF('IWP01'!ContractNumber = 0, "", 'IWP01'!ContractNumber)</f>
        <v/>
      </c>
      <c r="I488" s="159" t="str">
        <f>IF('IWP01'!ContractType = 0, "", 'IWP01'!ContractType)</f>
        <v/>
      </c>
      <c r="J488" s="159" t="str">
        <f>IF('IWP01'!CompletedByLastName = 0, "", 'IWP01'!CompletedByLastName)</f>
        <v/>
      </c>
      <c r="K488" s="159" t="str">
        <f>IF('IWP01'!CompletedByFirstName = 0, "", 'IWP01'!CompletedByFirstName)</f>
        <v/>
      </c>
      <c r="L488" s="108">
        <f>IF('IWP01'!DateCompleted =DATE(1900,1,0),DATE(1900,1,1),'IWP01'!DateCompleted)</f>
        <v>1</v>
      </c>
      <c r="M488" s="159" t="str">
        <f>IF('IWP01'!Std3NotCalc = 0, "", 'IWP01'!Std3NotCalc)</f>
        <v/>
      </c>
      <c r="N488" s="108">
        <f>IF('IWP01'!Std3dot1aDate =DATE(1900,1,0),DATE(1900,1,1),'IWP01'!Std3dot1aDate)</f>
        <v>1</v>
      </c>
      <c r="O488" s="159" t="str">
        <f>IF('IWP01'!Std3dot1a = 0, "", 'IWP01'!Std3dot1a)</f>
        <v/>
      </c>
      <c r="P488" s="108">
        <f>IF('IWP01'!Std3dot1bDate=DATE(1900,1,0), DATE(1900,1,1), 'IWP01'!Std3dot1bDate)</f>
        <v>1</v>
      </c>
      <c r="Q488" s="159" t="str">
        <f>IF('IWP01'!Std3dot1b = 0, "", 'IWP01'!Std3dot1b)</f>
        <v/>
      </c>
      <c r="R488" s="108">
        <f>DATE(1900,1,1)</f>
        <v>1</v>
      </c>
      <c r="S488" s="159"/>
      <c r="T488" s="159" t="str">
        <f>IF('IWP01'!Std3dot1 = 0, "", 'IWP01'!Std3dot1)</f>
        <v/>
      </c>
      <c r="U488" s="159" t="str">
        <f>IF('IWP01'!Std3dot2AdditionalTasks = 0, "", 'IWP01'!Std3dot2AdditionalTasks)</f>
        <v/>
      </c>
      <c r="V488" s="159" t="str">
        <f>IF('IWP01'!Std3dot2Month1 = 0, "", 'IWP01'!Std3dot2Month1)</f>
        <v/>
      </c>
      <c r="W488" s="108">
        <f>IF('IWP01'!Std3dot2Month1Date =DATE(1900,1,0),DATE(1900,1,1),'IWP01'!Std3dot2Month1Date)</f>
        <v>1</v>
      </c>
      <c r="X488" s="159" t="str">
        <f>IF('IWP01'!Std3dot2Month2 = 0, "", 'IWP01'!Std3dot2Month2)</f>
        <v/>
      </c>
      <c r="Y488" s="108">
        <f>IF('IWP01'!Std3dot2Month2Date =DATE(1900,1,0),DATE(1900,1,1),'IWP01'!Std3dot2Month2Date)</f>
        <v>1</v>
      </c>
      <c r="Z488" s="159" t="str">
        <f>IF('IWP01'!Std3dot2 = 0, "", 'IWP01'!Std3dot2)</f>
        <v/>
      </c>
      <c r="AA488" s="159" t="str">
        <f>IF('IWP01'!Std3dot3 = 0, "", 'IWP01'!Std3dot3)</f>
        <v/>
      </c>
      <c r="AB488" s="159" t="str">
        <f>IF('IWP01'!Std3dot4 = 0, "", 'IWP01'!Std3dot4)</f>
        <v/>
      </c>
      <c r="AC488" s="159" t="str">
        <f>IF('IWP01'!Std4dot1a = 0, "", 'IWP01'!Std4dot1a)</f>
        <v/>
      </c>
      <c r="AD488" s="159" t="str">
        <f>IF('IWP01'!Std4dot1b = 0, "", 'IWP01'!Std4dot1b)</f>
        <v/>
      </c>
      <c r="AE488" s="159" t="str">
        <f>IF('IWP01'!Std4dot1c = 0, "", 'IWP01'!Std4dot1c)</f>
        <v/>
      </c>
      <c r="AF488" s="159" t="str">
        <f>IF('IWP01'!Std4dot1d = 0, "", 'IWP01'!Std4dot1d)</f>
        <v/>
      </c>
      <c r="AG488" s="159" t="str">
        <f>IF('IWP01'!Std4dot1 = 0, "", 'IWP01'!Std4dot1)</f>
        <v/>
      </c>
      <c r="AH488" s="159" t="str">
        <f>IF('IWP01'!Std5NotCalc = 0, "", 'IWP01'!Std5NotCalc)</f>
        <v/>
      </c>
      <c r="AI488" s="159" t="str">
        <f>IF('IWP01'!Std5dot1 = 0, "", 'IWP01'!Std5dot1)</f>
        <v/>
      </c>
      <c r="AJ488" s="159" t="str">
        <f>IF('IWP01'!Std7dot1NotCalc = 0, "", 'IWP01'!Std7dot1NotCalc)</f>
        <v/>
      </c>
      <c r="AK488" s="116">
        <f>'IWP01'!Std7dot1BalPerCshLog</f>
        <v>0</v>
      </c>
      <c r="AL488" s="116">
        <f>'IWP01'!Std7dot1LessAdj</f>
        <v>0</v>
      </c>
      <c r="AM488" s="116">
        <f>'IWP01'!Std7dot1AdjBal</f>
        <v>0</v>
      </c>
      <c r="AN488" s="116">
        <f>'IWP01'!Std7dot1CshOnHand</f>
        <v>0</v>
      </c>
      <c r="AO488" s="116">
        <f>'IWP01'!Std7dot1PtyCshOvrShrt</f>
        <v>0</v>
      </c>
      <c r="AP488" s="159" t="str">
        <f>IF('IWP01'!Std7dot1OvrShrtCorr = 0, "", 'IWP01'!Std7dot1OvrShrtCorr)</f>
        <v/>
      </c>
      <c r="AQ488" s="159" t="str">
        <f>IF('IWP01'!Std7dot1 = 0, "", 'IWP01'!Std7dot1)</f>
        <v/>
      </c>
      <c r="AR488" s="159" t="str">
        <f>IF('IWP01'!Std9dot1aNotCalc = 0, "", 'IWP01'!Std9dot1aNotCalc)</f>
        <v/>
      </c>
      <c r="AS488" s="159" t="str">
        <f>IF('IWP01'!Std9dot1bNotCalc = 0, "", 'IWP01'!Std9dot1bNotCalc)</f>
        <v/>
      </c>
      <c r="AT488" s="108">
        <f>IF('IWP01'!Std9BalPerBnkStmtDt =DATE(1900,1,0),DATE(1900,1,1),'IWP01'!Std9BalPerBnkStmtDt)</f>
        <v>1</v>
      </c>
      <c r="AU488" s="116">
        <f>'IWP01'!Std9BalPerBnkStmt</f>
        <v>0</v>
      </c>
      <c r="AV488" s="116">
        <f>'IWP01'!Std9TotDepsInTrans</f>
        <v>0</v>
      </c>
      <c r="AW488" s="116">
        <f>'IWP01'!Std9TotOutsChks</f>
        <v>0</v>
      </c>
      <c r="AX488" s="116">
        <f>'IWP01'!Std9AdjBalPerBank</f>
        <v>0</v>
      </c>
      <c r="AY488" s="108">
        <f>IF('IWP01'!Std9TotPtyCshIndvDt =DATE(1900,1,0),DATE(1900,1,1),'IWP01'!Std9TotPtyCshIndvDt)</f>
        <v>1</v>
      </c>
      <c r="AZ488" s="116">
        <f>'IWP01'!Std9TotPtyCshIndv</f>
        <v>0</v>
      </c>
      <c r="BA488" s="116">
        <f>'IWP01'!Std9TotCshBnkAndHnd</f>
        <v>0</v>
      </c>
      <c r="BB488" s="108">
        <f>IF('IWP01'!Std9BalPerBksDt =DATE(1900,1,0),DATE(1900,1,1),'IWP01'!Std9BalPerBksDt)</f>
        <v>1</v>
      </c>
      <c r="BC488" s="116">
        <f>'IWP01'!Std9BalPerBks</f>
        <v>0</v>
      </c>
      <c r="BD488" s="116">
        <f>'IWP01'!Std9UnapplErndInt</f>
        <v>0</v>
      </c>
      <c r="BE488" s="116">
        <f>'IWP01'!Std9UnpstdRcptDsbrsmts</f>
        <v>0</v>
      </c>
      <c r="BF488" s="116">
        <f>'IWP01'!Std9NsfChks</f>
        <v>0</v>
      </c>
      <c r="BG488" s="116">
        <f>'IWP01'!Std9AdjBalPerBks</f>
        <v>0</v>
      </c>
      <c r="BH488" s="116">
        <f>'IWP01'!Std9TrstFndAcctOvrShrt</f>
        <v>0</v>
      </c>
      <c r="BI488" s="159" t="str">
        <f>IF('IWP01'!Std9OvrShrtCorrctd = 0, "", 'IWP01'!Std9OvrShrtCorrctd)</f>
        <v/>
      </c>
      <c r="BJ488" s="159" t="str">
        <f>IF('IWP01'!Std9ShrtUnreimbSvcChg = 0, "", 'IWP01'!Std9ShrtUnreimbSvcChg)</f>
        <v/>
      </c>
      <c r="BK488" s="159" t="str">
        <f>IF('IWP01'!Std9dot1 = 0, "", 'IWP01'!Std9dot1)</f>
        <v/>
      </c>
      <c r="BL488" s="159" t="str">
        <f>IF('IWP01'!Std10dot1NotCalc = 0, "", 'IWP01'!Std10dot1NotCalc)</f>
        <v/>
      </c>
      <c r="BM488" s="352">
        <f>IF('IWP01'!FiscalReviewFirstMonth =DATE(1900,1,0),DATE(1900,1,1),'IWP01'!FiscalReviewFirstMonth)</f>
        <v>1</v>
      </c>
      <c r="BN488" s="116">
        <f>'IWP01'!Std10dot1TotalAmt1</f>
        <v>0</v>
      </c>
      <c r="BO488" s="352">
        <f>IF('IWP01'!FiscalReviewSecondMonth =DATE(1900,1,0),DATE(1900,1,1),'IWP01'!FiscalReviewSecondMonth)</f>
        <v>1</v>
      </c>
      <c r="BP488" s="116">
        <f>'IWP01'!Std10dot1TotalAmt2</f>
        <v>0</v>
      </c>
      <c r="BQ488" s="159" t="str">
        <f>IF('IWP01'!Std10dot1 = 0, "", 'IWP01'!Std10dot1)</f>
        <v/>
      </c>
      <c r="BR488" s="159" t="str">
        <f>IF('IWP01'!Std10dot2NotCalc = 0, "", 'IWP01'!Std10dot2NotCalc)</f>
        <v/>
      </c>
      <c r="BS488" s="352">
        <f>IF('IWP01'!FiscalReviewFirstMonth =DATE(1900,1,0),DATE(1900,1,1),'IWP01'!FiscalReviewFirstMonth)</f>
        <v>1</v>
      </c>
      <c r="BT488" s="159" t="str">
        <f>IF('IWP01'!Std10dot2BankChgs1 = 0, "", 'IWP01'!Std10dot2BankChgs1)</f>
        <v/>
      </c>
      <c r="BU488" s="352">
        <f>IF('IWP01'!FiscalReviewSecondMonth =DATE(1900,1,0),DATE(1900,1,1),'IWP01'!FiscalReviewSecondMonth)</f>
        <v>1</v>
      </c>
      <c r="BV488" s="159" t="str">
        <f>IF('IWP01'!Std10dot2BankChgs2 = 0, "", 'IWP01'!Std10dot2BankChgs2)</f>
        <v/>
      </c>
      <c r="BW488" s="159" t="str">
        <f>IF('IWP01'!Std10dot2 = 0, "", 'IWP01'!Std10dot2)</f>
        <v/>
      </c>
      <c r="BX488" s="159" t="str">
        <f>IF('IWP01'!Std10dot3NotCalc = 0, "", 'IWP01'!Std10dot3NotCalc)</f>
        <v/>
      </c>
      <c r="BY488" s="159" t="str">
        <f>IF('IWP01'!Std10dot3 = 0, "", 'IWP01'!Std10dot3)</f>
        <v/>
      </c>
      <c r="BZ488" s="159" t="str">
        <f>IF('IWP01'!Std10dot4NotCalc = 0, "", 'IWP01'!Std10dot4NotCalc)</f>
        <v/>
      </c>
      <c r="CA488" s="159" t="str">
        <f>IF('IWP01'!Std10dot4 = 0, "", 'IWP01'!Std10dot4)</f>
        <v/>
      </c>
      <c r="CB488" s="159" t="str">
        <f>IF('IWP01'!Std10dot5 = 0, "", 'IWP01'!Std10dot5)</f>
        <v/>
      </c>
      <c r="CC488" s="159" t="str">
        <f>IF('IWP01'!Std10dot6NotCalc = 0, "", 'IWP01'!Std10dot6NotCalc)</f>
        <v/>
      </c>
      <c r="CD488" s="159" t="str">
        <f>IF('IWP01'!Std10dot6a = 0, "", 'IWP01'!Std10dot6a)</f>
        <v/>
      </c>
      <c r="CE488" s="159" t="str">
        <f>IF('IWP01'!Std10dot6b = 0, "", 'IWP01'!Std10dot6b)</f>
        <v/>
      </c>
      <c r="CF488" s="159" t="str">
        <f>IF('IWP01'!Std10dot6c = 0, "", 'IWP01'!Std10dot6c)</f>
        <v/>
      </c>
      <c r="CG488" s="159" t="str">
        <f>IF('IWP01'!Std10dot6 = 0, "", 'IWP01'!Std10dot6)</f>
        <v/>
      </c>
      <c r="CH488" s="159" t="str">
        <f>IF('IWP01'!Std11dot1 = 0, "", 'IWP01'!Std11dot1)</f>
        <v/>
      </c>
      <c r="CI488" s="159" t="str">
        <f>IF('IWP01'!Std11dot2 = 0, "", 'IWP01'!Std11dot2)</f>
        <v/>
      </c>
      <c r="CJ488" s="112" t="str">
        <f>'IWP01'!Std11dot3</f>
        <v>NA</v>
      </c>
      <c r="CK488" s="108">
        <f>IF('IWP01'!Std11dot4DtDeathDschg =DATE(1900,1,0),DATE(1900,1,1),'IWP01'!Std11dot4DtDeathDschg)</f>
        <v>1</v>
      </c>
      <c r="CL488" s="116">
        <f>IF('IWP01'!Std11dot4RmBdAmtDue = "", MINVALDBL, 'IWP01'!Std11dot4RmBdAmtDue)</f>
        <v>-99999.99</v>
      </c>
      <c r="CM488" s="116">
        <f>'IWP01'!Std11dot4RmBdAmtRfnd</f>
        <v>0</v>
      </c>
      <c r="CN488" s="108">
        <f>IF('IWP01'!Std11dot4RmBdRfndDt =DATE(1900,1,0),DATE(1900,1,1),'IWP01'!Std11dot4RmBdRfndDt)</f>
        <v>1</v>
      </c>
      <c r="CO488" s="116">
        <f>'IWP01'!Std11dot4CoPayAmtDue</f>
        <v>0</v>
      </c>
      <c r="CP488" s="116">
        <f>'IWP01'!Std11dot4CoPayAmtRfnd</f>
        <v>0</v>
      </c>
      <c r="CQ488" s="108">
        <f>IF('IWP01'!Std11dot4CoPayRfndDt =DATE(1900,1,0),DATE(1900,1,1),'IWP01'!Std11dot4CoPayRfndDt)</f>
        <v>1</v>
      </c>
      <c r="CR488" s="159" t="str">
        <f>IF('IWP01'!Std11dot4LstName = 0, "", 'IWP01'!Std11dot4LstName)</f>
        <v/>
      </c>
      <c r="CS488" s="159" t="str">
        <f>IF('IWP01'!Std11dot4FrstName = 0, "", 'IWP01'!Std11dot4FrstName)</f>
        <v/>
      </c>
      <c r="CT488" s="159" t="str">
        <f>IF('IWP01'!Std11dot4a = 0, "", 'IWP01'!Std11dot4a)</f>
        <v/>
      </c>
      <c r="CU488" s="159" t="str">
        <f>IF('IWP01'!Std11dot4b = 0, "", 'IWP01'!Std11dot4b)</f>
        <v/>
      </c>
      <c r="CV488" s="159" t="str">
        <f>IF('IWP01'!Std11dot4ci = 0, "", 'IWP01'!Std11dot4ci)</f>
        <v/>
      </c>
      <c r="CW488" s="159" t="str">
        <f>IF('IWP01'!Std11dot4cii = 0, "", 'IWP01'!Std11dot4cii)</f>
        <v/>
      </c>
      <c r="CX488" s="159" t="str">
        <f>IF('IWP01'!Std11dot4 = 0, "", 'IWP01'!Std11dot4)</f>
        <v/>
      </c>
      <c r="CY488" s="108">
        <f>IF('IWP01'!FiscalReviewFirstMonth=DATE(1900,1,0),DATE(1900,1,1),'IWP01'!FiscalReviewFirstMonth)</f>
        <v>1</v>
      </c>
      <c r="CZ488" s="123">
        <f>IF('IWP01'!FiscalReviewSecondMonth=DATE(1900,1,0),DATE(1900,1,1),'IWP01'!FiscalReviewSecondMonth)</f>
        <v>1</v>
      </c>
    </row>
    <row r="489" spans="1:104">
      <c r="A489" s="160" t="s">
        <v>748</v>
      </c>
      <c r="B489" s="108">
        <f>IF('Samples (Print)'!D6=DATE(1900,1,0),DATE(1900,1,1),'Samples (Print)'!D6)</f>
        <v>1</v>
      </c>
      <c r="C489" s="108">
        <f>IF('Samples (Print)'!E6=DATE(1900,1,0),DATE(1900,1,1),'Samples (Print)'!E6)</f>
        <v>1</v>
      </c>
      <c r="D489" s="162">
        <f>'IWP02'!SampleNumber</f>
        <v>2</v>
      </c>
      <c r="E489" s="162" t="str">
        <f ca="1">'IWP02'!ClientID</f>
        <v/>
      </c>
      <c r="F489" s="220"/>
      <c r="G489" s="220"/>
      <c r="H489" s="159" t="str">
        <f ca="1">IF('IWP02'!ContractNumber = 0, "", 'IWP02'!ContractNumber)</f>
        <v/>
      </c>
      <c r="I489" s="159" t="str">
        <f>IF('IWP02'!ContractType = 0, "", 'IWP02'!ContractType)</f>
        <v/>
      </c>
      <c r="J489" s="159" t="str">
        <f>IF('IWP02'!CompletedByLastName = 0, "", 'IWP02'!CompletedByLastName)</f>
        <v/>
      </c>
      <c r="K489" s="159" t="str">
        <f>IF('IWP02'!CompletedByFirstName = 0, "", 'IWP02'!CompletedByFirstName)</f>
        <v/>
      </c>
      <c r="L489" s="108">
        <f>IF('IWP02'!DateCompleted =DATE(1900,1,0),DATE(1900,1,1),'IWP02'!DateCompleted)</f>
        <v>1</v>
      </c>
      <c r="M489" s="159" t="str">
        <f>IF('IWP02'!Std3NotCalc = 0, "", 'IWP02'!Std3NotCalc)</f>
        <v/>
      </c>
      <c r="N489" s="108">
        <f>IF('IWP02'!Std3dot1aDate =DATE(1900,1,0),DATE(1900,1,1),'IWP02'!Std3dot1aDate)</f>
        <v>1</v>
      </c>
      <c r="O489" s="159" t="str">
        <f>IF('IWP02'!Std3dot1a = 0, "", 'IWP02'!Std3dot1a)</f>
        <v/>
      </c>
      <c r="P489" s="108">
        <f>IF('IWP02'!Std3dot1bDate=DATE(1900,1,0), DATE(1900,1,1), 'IWP02'!Std3dot1bDate)</f>
        <v>1</v>
      </c>
      <c r="Q489" s="159" t="str">
        <f>IF('IWP02'!Std3dot1b = 0, "", 'IWP02'!Std3dot1b)</f>
        <v/>
      </c>
      <c r="R489" s="108">
        <f t="shared" ref="R489:R494" si="0">DATE(1900,1,1)</f>
        <v>1</v>
      </c>
      <c r="S489" s="159"/>
      <c r="T489" s="159" t="str">
        <f>IF('IWP02'!Std3dot1 = 0, "", 'IWP02'!Std3dot1)</f>
        <v/>
      </c>
      <c r="U489" s="159" t="str">
        <f>IF('IWP02'!Std3dot2AdditionalTasks = 0, "", 'IWP02'!Std3dot2AdditionalTasks)</f>
        <v/>
      </c>
      <c r="V489" s="159" t="str">
        <f>IF('IWP02'!Std3dot2Month1 = 0, "", 'IWP02'!Std3dot2Month1)</f>
        <v/>
      </c>
      <c r="W489" s="108">
        <f>IF('IWP02'!Std3dot2Month1Date =DATE(1900,1,0),DATE(1900,1,1),'IWP02'!Std3dot2Month1Date)</f>
        <v>1</v>
      </c>
      <c r="X489" s="159" t="str">
        <f>IF('IWP02'!Std3dot2Month2 = 0, "", 'IWP02'!Std3dot2Month2)</f>
        <v/>
      </c>
      <c r="Y489" s="108">
        <f>IF('IWP02'!Std3dot2Month2Date =DATE(1900,1,0),DATE(1900,1,1),'IWP02'!Std3dot2Month2Date)</f>
        <v>1</v>
      </c>
      <c r="Z489" s="159" t="str">
        <f>IF('IWP02'!Std3dot2 = 0, "", 'IWP02'!Std3dot2)</f>
        <v/>
      </c>
      <c r="AA489" s="159" t="str">
        <f>IF('IWP02'!Std3dot3 = 0, "", 'IWP02'!Std3dot3)</f>
        <v/>
      </c>
      <c r="AB489" s="159" t="str">
        <f>IF('IWP02'!Std3dot4 = 0, "", 'IWP02'!Std3dot4)</f>
        <v/>
      </c>
      <c r="AC489" s="159" t="str">
        <f>IF('IWP02'!Std4dot1a = 0, "", 'IWP02'!Std4dot1a)</f>
        <v/>
      </c>
      <c r="AD489" s="159" t="str">
        <f>IF('IWP02'!Std4dot1b = 0, "", 'IWP02'!Std4dot1b)</f>
        <v/>
      </c>
      <c r="AE489" s="159" t="str">
        <f>IF('IWP02'!Std4dot1c = 0, "", 'IWP02'!Std4dot1c)</f>
        <v/>
      </c>
      <c r="AF489" s="159" t="str">
        <f>IF('IWP02'!Std4dot1d = 0, "", 'IWP02'!Std4dot1d)</f>
        <v/>
      </c>
      <c r="AG489" s="159" t="str">
        <f>IF('IWP02'!Std4dot1 = 0, "", 'IWP02'!Std4dot1)</f>
        <v/>
      </c>
      <c r="AH489" s="159" t="str">
        <f>IF('IWP02'!Std5NotCalc = 0, "", 'IWP02'!Std5NotCalc)</f>
        <v/>
      </c>
      <c r="AI489" s="159" t="str">
        <f>IF('IWP02'!Std5dot1 = 0, "", 'IWP02'!Std5dot1)</f>
        <v/>
      </c>
      <c r="AJ489" s="159" t="str">
        <f>IF('IWP02'!Std7dot1NotCalc = 0, "", 'IWP02'!Std7dot1NotCalc)</f>
        <v/>
      </c>
      <c r="AK489" s="116">
        <f>'IWP02'!Std7dot1BalPerCshLog</f>
        <v>0</v>
      </c>
      <c r="AL489" s="116">
        <f>'IWP02'!Std7dot1LessAdj</f>
        <v>0</v>
      </c>
      <c r="AM489" s="116">
        <f>'IWP02'!Std7dot1AdjBal</f>
        <v>0</v>
      </c>
      <c r="AN489" s="116">
        <f>'IWP02'!Std7dot1CshOnHand</f>
        <v>0</v>
      </c>
      <c r="AO489" s="116">
        <f>'IWP02'!Std7dot1PtyCshOvrShrt</f>
        <v>0</v>
      </c>
      <c r="AP489" s="159" t="str">
        <f>IF('IWP02'!Std7dot1OvrShrtCorr = 0, "", 'IWP02'!Std7dot1OvrShrtCorr)</f>
        <v/>
      </c>
      <c r="AQ489" s="159" t="str">
        <f>IF('IWP02'!Std7dot1 = 0, "", 'IWP02'!Std7dot1)</f>
        <v/>
      </c>
      <c r="AR489" s="159" t="str">
        <f>IF('IWP02'!Std9dot1aNotCalc = 0, "", 'IWP02'!Std9dot1aNotCalc)</f>
        <v/>
      </c>
      <c r="AS489" s="159" t="str">
        <f>IF('IWP02'!Std9dot1bNotCalc = 0, "", 'IWP02'!Std9dot1bNotCalc)</f>
        <v/>
      </c>
      <c r="AT489" s="108">
        <f>IF('IWP02'!Std9BalPerBnkStmtDt =DATE(1900,1,0),DATE(1900,1,1),'IWP02'!Std9BalPerBnkStmtDt)</f>
        <v>1</v>
      </c>
      <c r="AU489" s="116">
        <f>'IWP02'!Std9BalPerBnkStmt</f>
        <v>0</v>
      </c>
      <c r="AV489" s="116">
        <f>'IWP02'!Std9TotDepsInTrans</f>
        <v>0</v>
      </c>
      <c r="AW489" s="116">
        <f>'IWP02'!Std9TotOutsChks</f>
        <v>0</v>
      </c>
      <c r="AX489" s="116">
        <f>'IWP02'!Std9AdjBalPerBank</f>
        <v>0</v>
      </c>
      <c r="AY489" s="108">
        <f>IF('IWP02'!Std9TotPtyCshIndvDt =DATE(1900,1,0),DATE(1900,1,1),'IWP02'!Std9TotPtyCshIndvDt)</f>
        <v>1</v>
      </c>
      <c r="AZ489" s="116">
        <f>'IWP02'!Std9TotPtyCshIndv</f>
        <v>0</v>
      </c>
      <c r="BA489" s="116">
        <f>'IWP02'!Std9TotCshBnkAndHnd</f>
        <v>0</v>
      </c>
      <c r="BB489" s="108">
        <f>IF('IWP02'!Std9BalPerBksDt =DATE(1900,1,0),DATE(1900,1,1),'IWP02'!Std9BalPerBksDt)</f>
        <v>1</v>
      </c>
      <c r="BC489" s="116">
        <f>'IWP02'!Std9BalPerBks</f>
        <v>0</v>
      </c>
      <c r="BD489" s="116">
        <f>'IWP02'!Std9UnapplErndInt</f>
        <v>0</v>
      </c>
      <c r="BE489" s="116">
        <f>'IWP02'!Std9UnpstdRcptDsbrsmts</f>
        <v>0</v>
      </c>
      <c r="BF489" s="116">
        <f>'IWP02'!Std9NsfChks</f>
        <v>0</v>
      </c>
      <c r="BG489" s="116">
        <f>'IWP02'!Std9AdjBalPerBks</f>
        <v>0</v>
      </c>
      <c r="BH489" s="116">
        <f>'IWP02'!Std9TrstFndAcctOvrShrt</f>
        <v>0</v>
      </c>
      <c r="BI489" s="159" t="str">
        <f>IF('IWP02'!Std9OvrShrtCorrctd = 0, "", 'IWP02'!Std9OvrShrtCorrctd)</f>
        <v/>
      </c>
      <c r="BJ489" s="159" t="str">
        <f>IF('IWP02'!Std9ShrtUnreimbSvcChg = 0, "", 'IWP02'!Std9ShrtUnreimbSvcChg)</f>
        <v/>
      </c>
      <c r="BK489" s="159" t="str">
        <f>IF('IWP02'!Std9dot1 = 0, "", 'IWP02'!Std9dot1)</f>
        <v/>
      </c>
      <c r="BL489" s="159" t="str">
        <f>IF('IWP02'!Std10dot1NotCalc = 0, "", 'IWP02'!Std10dot1NotCalc)</f>
        <v/>
      </c>
      <c r="BM489" s="352">
        <f>IF('IWP02'!FiscalReviewFirstMonth =DATE(1900,1,0),DATE(1900,1,1),'IWP02'!FiscalReviewFirstMonth)</f>
        <v>1</v>
      </c>
      <c r="BN489" s="116">
        <f>'IWP02'!Std10dot1TotalAmt1</f>
        <v>0</v>
      </c>
      <c r="BO489" s="352">
        <f>IF('IWP02'!FiscalReviewSecondMonth =DATE(1900,1,0),DATE(1900,1,1),'IWP02'!FiscalReviewSecondMonth)</f>
        <v>1</v>
      </c>
      <c r="BP489" s="116">
        <f>'IWP02'!Std10dot1TotalAmt2</f>
        <v>0</v>
      </c>
      <c r="BQ489" s="159" t="str">
        <f>IF('IWP02'!Std10dot1 = 0, "", 'IWP02'!Std10dot1)</f>
        <v/>
      </c>
      <c r="BR489" s="159" t="str">
        <f>IF('IWP02'!Std10dot2NotCalc = 0, "", 'IWP02'!Std10dot2NotCalc)</f>
        <v/>
      </c>
      <c r="BS489" s="352">
        <f>IF('IWP02'!FiscalReviewFirstMonth =DATE(1900,1,0),DATE(1900,1,1),'IWP02'!FiscalReviewFirstMonth)</f>
        <v>1</v>
      </c>
      <c r="BT489" s="159" t="str">
        <f>IF('IWP02'!Std10dot2BankChgs1 = 0, "", 'IWP02'!Std10dot2BankChgs1)</f>
        <v/>
      </c>
      <c r="BU489" s="352">
        <f>IF('IWP02'!FiscalReviewSecondMonth =DATE(1900,1,0),DATE(1900,1,1),'IWP02'!FiscalReviewSecondMonth)</f>
        <v>1</v>
      </c>
      <c r="BV489" s="159" t="str">
        <f>IF('IWP02'!Std10dot2BankChgs2 = 0, "", 'IWP02'!Std10dot2BankChgs2)</f>
        <v/>
      </c>
      <c r="BW489" s="159" t="str">
        <f>IF('IWP02'!Std10dot2 = 0, "", 'IWP02'!Std10dot2)</f>
        <v/>
      </c>
      <c r="BX489" s="159" t="str">
        <f>IF('IWP02'!Std10dot3NotCalc = 0, "", 'IWP02'!Std10dot3NotCalc)</f>
        <v/>
      </c>
      <c r="BY489" s="159" t="str">
        <f>IF('IWP02'!Std10dot3 = 0, "", 'IWP02'!Std10dot3)</f>
        <v/>
      </c>
      <c r="BZ489" s="159" t="str">
        <f>IF('IWP02'!Std10dot4NotCalc = 0, "", 'IWP02'!Std10dot4NotCalc)</f>
        <v/>
      </c>
      <c r="CA489" s="159" t="str">
        <f>IF('IWP02'!Std10dot4 = 0, "", 'IWP02'!Std10dot4)</f>
        <v/>
      </c>
      <c r="CB489" s="159" t="str">
        <f>IF('IWP02'!Std10dot5 = 0, "", 'IWP02'!Std10dot5)</f>
        <v/>
      </c>
      <c r="CC489" s="159" t="str">
        <f>IF('IWP02'!Std10dot6NotCalc = 0, "", 'IWP02'!Std10dot6NotCalc)</f>
        <v/>
      </c>
      <c r="CD489" s="159" t="str">
        <f>IF('IWP02'!Std10dot6a = 0, "", 'IWP02'!Std10dot6a)</f>
        <v/>
      </c>
      <c r="CE489" s="159" t="str">
        <f>IF('IWP02'!Std10dot6b = 0, "", 'IWP02'!Std10dot6b)</f>
        <v/>
      </c>
      <c r="CF489" s="159" t="str">
        <f>IF('IWP02'!Std10dot6c = 0, "", 'IWP02'!Std10dot6c)</f>
        <v/>
      </c>
      <c r="CG489" s="159" t="str">
        <f>IF('IWP02'!Std10dot6 = 0, "", 'IWP02'!Std10dot6)</f>
        <v/>
      </c>
      <c r="CH489" s="159" t="str">
        <f>IF('IWP02'!Std11dot1 = 0, "", 'IWP02'!Std11dot1)</f>
        <v/>
      </c>
      <c r="CI489" s="159" t="str">
        <f>IF('IWP02'!Std11dot2 = 0, "", 'IWP02'!Std11dot2)</f>
        <v/>
      </c>
      <c r="CJ489" s="112" t="str">
        <f>'IWP02'!Std11dot3</f>
        <v>NA</v>
      </c>
      <c r="CK489" s="108">
        <f>IF('IWP02'!Std11dot4DtDeathDschg =DATE(1900,1,0),DATE(1900,1,1),'IWP02'!Std11dot4DtDeathDschg)</f>
        <v>1</v>
      </c>
      <c r="CL489" s="116">
        <f>IF('IWP02'!Std11dot4RmBdAmtDue = "", MINVALDBL, 'IWP02'!Std11dot4RmBdAmtDue)</f>
        <v>-99999.99</v>
      </c>
      <c r="CM489" s="116">
        <f>'IWP02'!Std11dot4RmBdAmtRfnd</f>
        <v>0</v>
      </c>
      <c r="CN489" s="108">
        <f>IF('IWP02'!Std11dot4RmBdRfndDt =DATE(1900,1,0),DATE(1900,1,1),'IWP02'!Std11dot4RmBdRfndDt)</f>
        <v>1</v>
      </c>
      <c r="CO489" s="116">
        <f>'IWP02'!Std11dot4CoPayAmtDue</f>
        <v>0</v>
      </c>
      <c r="CP489" s="116">
        <f>'IWP02'!Std11dot4CoPayAmtRfnd</f>
        <v>0</v>
      </c>
      <c r="CQ489" s="108">
        <f>IF('IWP02'!Std11dot4CoPayRfndDt =DATE(1900,1,0),DATE(1900,1,1),'IWP02'!Std11dot4CoPayRfndDt)</f>
        <v>1</v>
      </c>
      <c r="CR489" s="159" t="str">
        <f>IF('IWP02'!Std11dot4LstName = 0, "", 'IWP02'!Std11dot4LstName)</f>
        <v/>
      </c>
      <c r="CS489" s="159" t="str">
        <f>IF('IWP02'!Std11dot4FrstName = 0, "", 'IWP02'!Std11dot4FrstName)</f>
        <v/>
      </c>
      <c r="CT489" s="159" t="str">
        <f>IF('IWP02'!Std11dot4a = 0, "", 'IWP02'!Std11dot4a)</f>
        <v/>
      </c>
      <c r="CU489" s="159" t="str">
        <f>IF('IWP02'!Std11dot4b = 0, "", 'IWP02'!Std11dot4b)</f>
        <v/>
      </c>
      <c r="CV489" s="159" t="str">
        <f>IF('IWP02'!Std11dot4ci = 0, "", 'IWP02'!Std11dot4ci)</f>
        <v/>
      </c>
      <c r="CW489" s="159" t="str">
        <f>IF('IWP02'!Std11dot4cii = 0, "", 'IWP02'!Std11dot4cii)</f>
        <v/>
      </c>
      <c r="CX489" s="159" t="str">
        <f>IF('IWP02'!Std11dot4 = 0, "", 'IWP02'!Std11dot4)</f>
        <v/>
      </c>
      <c r="CY489" s="108">
        <f>IF('IWP02'!FiscalReviewFirstMonth=DATE(1900,1,0),DATE(1900,1,1),'IWP02'!FiscalReviewFirstMonth)</f>
        <v>1</v>
      </c>
      <c r="CZ489" s="123">
        <f>IF('IWP02'!FiscalReviewSecondMonth=DATE(1900,1,0),DATE(1900,1,1),'IWP02'!FiscalReviewSecondMonth)</f>
        <v>1</v>
      </c>
    </row>
    <row r="490" spans="1:104">
      <c r="A490" s="160" t="s">
        <v>749</v>
      </c>
      <c r="B490" s="108">
        <f>IF('Samples (Print)'!D7=DATE(1900,1,0),DATE(1900,1,1),'Samples (Print)'!D7)</f>
        <v>1</v>
      </c>
      <c r="C490" s="108">
        <f>IF('Samples (Print)'!E7=DATE(1900,1,0),DATE(1900,1,1),'Samples (Print)'!E7)</f>
        <v>1</v>
      </c>
      <c r="D490" s="162">
        <f>'IWP03'!SampleNumber</f>
        <v>3</v>
      </c>
      <c r="E490" s="162" t="str">
        <f ca="1">'IWP03'!ClientID</f>
        <v/>
      </c>
      <c r="F490" s="220"/>
      <c r="G490" s="220"/>
      <c r="H490" s="159" t="str">
        <f ca="1">IF('IWP03'!ContractNumber = 0, "", 'IWP03'!ContractNumber)</f>
        <v/>
      </c>
      <c r="I490" s="159" t="str">
        <f>IF('IWP03'!ContractType = 0, "", 'IWP03'!ContractType)</f>
        <v/>
      </c>
      <c r="J490" s="159" t="str">
        <f>IF('IWP03'!CompletedByLastName = 0, "", 'IWP03'!CompletedByLastName)</f>
        <v/>
      </c>
      <c r="K490" s="159" t="str">
        <f>IF('IWP03'!CompletedByFirstName = 0, "", 'IWP03'!CompletedByFirstName)</f>
        <v/>
      </c>
      <c r="L490" s="108">
        <f>IF('IWP03'!DateCompleted =DATE(1900,1,0),DATE(1900,1,1),'IWP03'!DateCompleted)</f>
        <v>1</v>
      </c>
      <c r="M490" s="159" t="str">
        <f>IF('IWP03'!Std3NotCalc = 0, "", 'IWP03'!Std3NotCalc)</f>
        <v/>
      </c>
      <c r="N490" s="108">
        <f>IF('IWP03'!Std3dot1aDate =DATE(1900,1,0),DATE(1900,1,1),'IWP03'!Std3dot1aDate)</f>
        <v>1</v>
      </c>
      <c r="O490" s="159" t="str">
        <f>IF('IWP03'!Std3dot1a = 0, "", 'IWP03'!Std3dot1a)</f>
        <v/>
      </c>
      <c r="P490" s="108">
        <f>IF('IWP03'!Std3dot1bDate=DATE(1900,1,0), DATE(1900,1,1), 'IWP03'!Std3dot1bDate)</f>
        <v>1</v>
      </c>
      <c r="Q490" s="159" t="str">
        <f>IF('IWP03'!Std3dot1b = 0, "", 'IWP03'!Std3dot1b)</f>
        <v/>
      </c>
      <c r="R490" s="108">
        <f t="shared" si="0"/>
        <v>1</v>
      </c>
      <c r="S490" s="159"/>
      <c r="T490" s="159" t="str">
        <f>IF('IWP03'!Std3dot1 = 0, "", 'IWP03'!Std3dot1)</f>
        <v/>
      </c>
      <c r="U490" s="159" t="str">
        <f>IF('IWP03'!Std3dot2AdditionalTasks = 0, "", 'IWP03'!Std3dot2AdditionalTasks)</f>
        <v/>
      </c>
      <c r="V490" s="159" t="str">
        <f>IF('IWP03'!Std3dot2Month1 = 0, "", 'IWP03'!Std3dot2Month1)</f>
        <v/>
      </c>
      <c r="W490" s="108">
        <f>IF('IWP03'!Std3dot2Month1Date =DATE(1900,1,0),DATE(1900,1,1),'IWP03'!Std3dot2Month1Date)</f>
        <v>1</v>
      </c>
      <c r="X490" s="159" t="str">
        <f>IF('IWP03'!Std3dot2Month2 = 0, "", 'IWP03'!Std3dot2Month2)</f>
        <v/>
      </c>
      <c r="Y490" s="108">
        <f>IF('IWP03'!Std3dot2Month2Date =DATE(1900,1,0),DATE(1900,1,1),'IWP03'!Std3dot2Month2Date)</f>
        <v>1</v>
      </c>
      <c r="Z490" s="159" t="str">
        <f>IF('IWP03'!Std3dot2 = 0, "", 'IWP03'!Std3dot2)</f>
        <v/>
      </c>
      <c r="AA490" s="159" t="str">
        <f>IF('IWP03'!Std3dot3 = 0, "", 'IWP03'!Std3dot3)</f>
        <v/>
      </c>
      <c r="AB490" s="159" t="str">
        <f>IF('IWP03'!Std3dot4 = 0, "", 'IWP03'!Std3dot4)</f>
        <v/>
      </c>
      <c r="AC490" s="159" t="str">
        <f>IF('IWP03'!Std4dot1a = 0, "", 'IWP03'!Std4dot1a)</f>
        <v/>
      </c>
      <c r="AD490" s="159" t="str">
        <f>IF('IWP03'!Std4dot1b = 0, "", 'IWP03'!Std4dot1b)</f>
        <v/>
      </c>
      <c r="AE490" s="159" t="str">
        <f>IF('IWP03'!Std4dot1c = 0, "", 'IWP03'!Std4dot1c)</f>
        <v/>
      </c>
      <c r="AF490" s="159" t="str">
        <f>IF('IWP03'!Std4dot1d = 0, "", 'IWP03'!Std4dot1d)</f>
        <v/>
      </c>
      <c r="AG490" s="159" t="str">
        <f>IF('IWP03'!Std4dot1 = 0, "", 'IWP03'!Std4dot1)</f>
        <v/>
      </c>
      <c r="AH490" s="159" t="str">
        <f>IF('IWP03'!Std5NotCalc = 0, "", 'IWP03'!Std5NotCalc)</f>
        <v/>
      </c>
      <c r="AI490" s="159" t="str">
        <f>IF('IWP03'!Std5dot1 = 0, "", 'IWP03'!Std5dot1)</f>
        <v/>
      </c>
      <c r="AJ490" s="159" t="str">
        <f>IF('IWP03'!Std7dot1NotCalc = 0, "", 'IWP03'!Std7dot1NotCalc)</f>
        <v/>
      </c>
      <c r="AK490" s="116">
        <f>'IWP03'!Std7dot1BalPerCshLog</f>
        <v>0</v>
      </c>
      <c r="AL490" s="116">
        <f>'IWP03'!Std7dot1LessAdj</f>
        <v>0</v>
      </c>
      <c r="AM490" s="116">
        <f>'IWP03'!Std7dot1AdjBal</f>
        <v>0</v>
      </c>
      <c r="AN490" s="116">
        <f>'IWP03'!Std7dot1CshOnHand</f>
        <v>0</v>
      </c>
      <c r="AO490" s="116">
        <f>'IWP03'!Std7dot1PtyCshOvrShrt</f>
        <v>0</v>
      </c>
      <c r="AP490" s="159" t="str">
        <f>IF('IWP03'!Std7dot1OvrShrtCorr = 0, "", 'IWP03'!Std7dot1OvrShrtCorr)</f>
        <v/>
      </c>
      <c r="AQ490" s="159" t="str">
        <f>IF('IWP03'!Std7dot1 = 0, "", 'IWP03'!Std7dot1)</f>
        <v/>
      </c>
      <c r="AR490" s="159" t="str">
        <f>IF('IWP03'!Std9dot1aNotCalc = 0, "", 'IWP03'!Std9dot1aNotCalc)</f>
        <v/>
      </c>
      <c r="AS490" s="159" t="str">
        <f>IF('IWP03'!Std9dot1bNotCalc = 0, "", 'IWP03'!Std9dot1bNotCalc)</f>
        <v/>
      </c>
      <c r="AT490" s="108">
        <f>IF('IWP03'!Std9BalPerBnkStmtDt =DATE(1900,1,0),DATE(1900,1,1),'IWP03'!Std9BalPerBnkStmtDt)</f>
        <v>1</v>
      </c>
      <c r="AU490" s="116">
        <f>'IWP03'!Std9BalPerBnkStmt</f>
        <v>0</v>
      </c>
      <c r="AV490" s="116">
        <f>'IWP03'!Std9TotDepsInTrans</f>
        <v>0</v>
      </c>
      <c r="AW490" s="116">
        <f>'IWP03'!Std9TotOutsChks</f>
        <v>0</v>
      </c>
      <c r="AX490" s="116">
        <f>'IWP03'!Std9AdjBalPerBank</f>
        <v>0</v>
      </c>
      <c r="AY490" s="108">
        <f>IF('IWP03'!Std9TotPtyCshIndvDt =DATE(1900,1,0),DATE(1900,1,1),'IWP03'!Std9TotPtyCshIndvDt)</f>
        <v>1</v>
      </c>
      <c r="AZ490" s="116">
        <f>'IWP03'!Std9TotPtyCshIndv</f>
        <v>0</v>
      </c>
      <c r="BA490" s="116">
        <f>'IWP03'!Std9TotCshBnkAndHnd</f>
        <v>0</v>
      </c>
      <c r="BB490" s="108">
        <f>IF('IWP03'!Std9BalPerBksDt =DATE(1900,1,0),DATE(1900,1,1),'IWP03'!Std9BalPerBksDt)</f>
        <v>1</v>
      </c>
      <c r="BC490" s="116">
        <f>'IWP03'!Std9BalPerBks</f>
        <v>0</v>
      </c>
      <c r="BD490" s="116">
        <f>'IWP03'!Std9UnapplErndInt</f>
        <v>0</v>
      </c>
      <c r="BE490" s="116">
        <f>'IWP03'!Std9UnpstdRcptDsbrsmts</f>
        <v>0</v>
      </c>
      <c r="BF490" s="116">
        <f>'IWP03'!Std9NsfChks</f>
        <v>0</v>
      </c>
      <c r="BG490" s="116">
        <f>'IWP03'!Std9AdjBalPerBks</f>
        <v>0</v>
      </c>
      <c r="BH490" s="116">
        <f>'IWP03'!Std9TrstFndAcctOvrShrt</f>
        <v>0</v>
      </c>
      <c r="BI490" s="159" t="str">
        <f>IF('IWP03'!Std9OvrShrtCorrctd = 0, "", 'IWP03'!Std9OvrShrtCorrctd)</f>
        <v/>
      </c>
      <c r="BJ490" s="159" t="str">
        <f>IF('IWP03'!Std9ShrtUnreimbSvcChg = 0, "", 'IWP03'!Std9ShrtUnreimbSvcChg)</f>
        <v/>
      </c>
      <c r="BK490" s="159" t="str">
        <f>IF('IWP03'!Std9dot1 = 0, "", 'IWP03'!Std9dot1)</f>
        <v/>
      </c>
      <c r="BL490" s="159" t="str">
        <f>IF('IWP03'!Std10dot1NotCalc = 0, "", 'IWP03'!Std10dot1NotCalc)</f>
        <v/>
      </c>
      <c r="BM490" s="352">
        <f>IF('IWP03'!FiscalReviewFirstMonth =DATE(1900,1,0),DATE(1900,1,1),'IWP03'!FiscalReviewFirstMonth)</f>
        <v>1</v>
      </c>
      <c r="BN490" s="116">
        <f>'IWP03'!Std10dot1TotalAmt1</f>
        <v>0</v>
      </c>
      <c r="BO490" s="352">
        <f>IF('IWP03'!FiscalReviewSecondMonth =DATE(1900,1,0),DATE(1900,1,1),'IWP03'!FiscalReviewSecondMonth)</f>
        <v>1</v>
      </c>
      <c r="BP490" s="116">
        <f>'IWP03'!Std10dot1TotalAmt2</f>
        <v>0</v>
      </c>
      <c r="BQ490" s="159" t="str">
        <f>IF('IWP03'!Std10dot1 = 0, "", 'IWP03'!Std10dot1)</f>
        <v/>
      </c>
      <c r="BR490" s="159" t="str">
        <f>IF('IWP03'!Std10dot2NotCalc = 0, "", 'IWP03'!Std10dot2NotCalc)</f>
        <v/>
      </c>
      <c r="BS490" s="352">
        <f>IF('IWP03'!FiscalReviewFirstMonth =DATE(1900,1,0),DATE(1900,1,1),'IWP03'!FiscalReviewFirstMonth)</f>
        <v>1</v>
      </c>
      <c r="BT490" s="159" t="str">
        <f>IF('IWP03'!Std10dot2BankChgs1 = 0, "", 'IWP03'!Std10dot2BankChgs1)</f>
        <v/>
      </c>
      <c r="BU490" s="352">
        <f>IF('IWP03'!FiscalReviewSecondMonth =DATE(1900,1,0),DATE(1900,1,1),'IWP03'!FiscalReviewSecondMonth)</f>
        <v>1</v>
      </c>
      <c r="BV490" s="159" t="str">
        <f>IF('IWP03'!Std10dot2BankChgs2 = 0, "", 'IWP03'!Std10dot2BankChgs2)</f>
        <v/>
      </c>
      <c r="BW490" s="159" t="str">
        <f>IF('IWP03'!Std10dot2 = 0, "", 'IWP03'!Std10dot2)</f>
        <v/>
      </c>
      <c r="BX490" s="159" t="str">
        <f>IF('IWP03'!Std10dot3NotCalc = 0, "", 'IWP03'!Std10dot3NotCalc)</f>
        <v/>
      </c>
      <c r="BY490" s="159" t="str">
        <f>IF('IWP03'!Std10dot3 = 0, "", 'IWP03'!Std10dot3)</f>
        <v/>
      </c>
      <c r="BZ490" s="159" t="str">
        <f>IF('IWP03'!Std10dot4NotCalc = 0, "", 'IWP03'!Std10dot4NotCalc)</f>
        <v/>
      </c>
      <c r="CA490" s="159" t="str">
        <f>IF('IWP03'!Std10dot4 = 0, "", 'IWP03'!Std10dot4)</f>
        <v/>
      </c>
      <c r="CB490" s="159" t="str">
        <f>IF('IWP03'!Std10dot5 = 0, "", 'IWP03'!Std10dot5)</f>
        <v/>
      </c>
      <c r="CC490" s="159" t="str">
        <f>IF('IWP03'!Std10dot6NotCalc = 0, "", 'IWP03'!Std10dot6NotCalc)</f>
        <v/>
      </c>
      <c r="CD490" s="159" t="str">
        <f>IF('IWP03'!Std10dot6a = 0, "", 'IWP03'!Std10dot6a)</f>
        <v/>
      </c>
      <c r="CE490" s="159" t="str">
        <f>IF('IWP03'!Std10dot6b = 0, "", 'IWP03'!Std10dot6b)</f>
        <v/>
      </c>
      <c r="CF490" s="159" t="str">
        <f>IF('IWP03'!Std10dot6c = 0, "", 'IWP03'!Std10dot6c)</f>
        <v/>
      </c>
      <c r="CG490" s="159" t="str">
        <f>IF('IWP03'!Std10dot6 = 0, "", 'IWP03'!Std10dot6)</f>
        <v/>
      </c>
      <c r="CH490" s="159" t="str">
        <f>IF('IWP03'!Std11dot1 = 0, "", 'IWP03'!Std11dot1)</f>
        <v/>
      </c>
      <c r="CI490" s="159" t="str">
        <f>IF('IWP03'!Std11dot2 = 0, "", 'IWP03'!Std11dot2)</f>
        <v/>
      </c>
      <c r="CJ490" s="112" t="str">
        <f>'IWP03'!Std11dot3</f>
        <v>NA</v>
      </c>
      <c r="CK490" s="108">
        <f>IF('IWP03'!Std11dot4DtDeathDschg =DATE(1900,1,0),DATE(1900,1,1),'IWP03'!Std11dot4DtDeathDschg)</f>
        <v>1</v>
      </c>
      <c r="CL490" s="116">
        <f>IF('IWP03'!Std11dot4RmBdAmtDue = "", MINVALDBL, 'IWP03'!Std11dot4RmBdAmtDue)</f>
        <v>-99999.99</v>
      </c>
      <c r="CM490" s="116">
        <f>'IWP03'!Std11dot4RmBdAmtRfnd</f>
        <v>0</v>
      </c>
      <c r="CN490" s="108">
        <f>IF('IWP03'!Std11dot4RmBdRfndDt =DATE(1900,1,0),DATE(1900,1,1),'IWP03'!Std11dot4RmBdRfndDt)</f>
        <v>1</v>
      </c>
      <c r="CO490" s="116">
        <f>'IWP03'!Std11dot4CoPayAmtDue</f>
        <v>0</v>
      </c>
      <c r="CP490" s="116">
        <f>'IWP03'!Std11dot4CoPayAmtRfnd</f>
        <v>0</v>
      </c>
      <c r="CQ490" s="108">
        <f>IF('IWP03'!Std11dot4CoPayRfndDt =DATE(1900,1,0),DATE(1900,1,1),'IWP03'!Std11dot4CoPayRfndDt)</f>
        <v>1</v>
      </c>
      <c r="CR490" s="159" t="str">
        <f>IF('IWP03'!Std11dot4LstName = 0, "", 'IWP03'!Std11dot4LstName)</f>
        <v/>
      </c>
      <c r="CS490" s="159" t="str">
        <f>IF('IWP03'!Std11dot4FrstName = 0, "", 'IWP03'!Std11dot4FrstName)</f>
        <v/>
      </c>
      <c r="CT490" s="159" t="str">
        <f>IF('IWP03'!Std11dot4a = 0, "", 'IWP03'!Std11dot4a)</f>
        <v/>
      </c>
      <c r="CU490" s="159" t="str">
        <f>IF('IWP03'!Std11dot4b = 0, "", 'IWP03'!Std11dot4b)</f>
        <v/>
      </c>
      <c r="CV490" s="159" t="str">
        <f>IF('IWP03'!Std11dot4ci = 0, "", 'IWP03'!Std11dot4ci)</f>
        <v/>
      </c>
      <c r="CW490" s="159" t="str">
        <f>IF('IWP03'!Std11dot4cii = 0, "", 'IWP03'!Std11dot4cii)</f>
        <v/>
      </c>
      <c r="CX490" s="159" t="str">
        <f>IF('IWP03'!Std11dot4 = 0, "", 'IWP03'!Std11dot4)</f>
        <v/>
      </c>
      <c r="CY490" s="108">
        <f>IF('IWP03'!FiscalReviewFirstMonth=DATE(1900,1,0),DATE(1900,1,1),'IWP03'!FiscalReviewFirstMonth)</f>
        <v>1</v>
      </c>
      <c r="CZ490" s="123">
        <f>IF('IWP03'!FiscalReviewSecondMonth=DATE(1900,1,0),DATE(1900,1,1),'IWP03'!FiscalReviewSecondMonth)</f>
        <v>1</v>
      </c>
    </row>
    <row r="491" spans="1:104">
      <c r="A491" s="160" t="s">
        <v>817</v>
      </c>
      <c r="B491" s="108">
        <f>IF('Samples (Print)'!D8=DATE(1900,1,0),DATE(1900,1,1),'Samples (Print)'!D8)</f>
        <v>1</v>
      </c>
      <c r="C491" s="108">
        <f>IF('Samples (Print)'!E8=DATE(1900,1,0),DATE(1900,1,1),'Samples (Print)'!E8)</f>
        <v>1</v>
      </c>
      <c r="D491" s="162">
        <f>'IWP04'!SampleNumber</f>
        <v>4</v>
      </c>
      <c r="E491" s="162" t="str">
        <f ca="1">'IWP04'!ClientID</f>
        <v/>
      </c>
      <c r="F491" s="220"/>
      <c r="G491" s="220"/>
      <c r="H491" s="159" t="str">
        <f ca="1">IF('IWP04'!ContractNumber = 0, "", 'IWP04'!ContractNumber)</f>
        <v/>
      </c>
      <c r="I491" s="159" t="str">
        <f>IF('IWP04'!ContractType = 0, "", 'IWP04'!ContractType)</f>
        <v/>
      </c>
      <c r="J491" s="159" t="str">
        <f>IF('IWP04'!CompletedByLastName = 0, "", 'IWP04'!CompletedByLastName)</f>
        <v/>
      </c>
      <c r="K491" s="159" t="str">
        <f>IF('IWP04'!CompletedByFirstName = 0, "", 'IWP04'!CompletedByFirstName)</f>
        <v/>
      </c>
      <c r="L491" s="108">
        <f>IF('IWP04'!DateCompleted =DATE(1900,1,0),DATE(1900,1,1),'IWP04'!DateCompleted)</f>
        <v>1</v>
      </c>
      <c r="M491" s="159" t="str">
        <f>IF('IWP04'!Std3NotCalc = 0, "", 'IWP04'!Std3NotCalc)</f>
        <v/>
      </c>
      <c r="N491" s="108">
        <f>IF('IWP04'!Std3dot1aDate =DATE(1900,1,0),DATE(1900,1,1),'IWP04'!Std3dot1aDate)</f>
        <v>1</v>
      </c>
      <c r="O491" s="159" t="str">
        <f>IF('IWP04'!Std3dot1a = 0, "", 'IWP04'!Std3dot1a)</f>
        <v/>
      </c>
      <c r="P491" s="108">
        <f>IF('IWP04'!Std3dot1bDate=DATE(1900,1,0), DATE(1900,1,1), 'IWP04'!Std3dot1bDate)</f>
        <v>1</v>
      </c>
      <c r="Q491" s="159" t="str">
        <f>IF('IWP04'!Std3dot1b = 0, "", 'IWP04'!Std3dot1b)</f>
        <v/>
      </c>
      <c r="R491" s="108">
        <f t="shared" si="0"/>
        <v>1</v>
      </c>
      <c r="S491" s="159"/>
      <c r="T491" s="159" t="str">
        <f>IF('IWP04'!Std3dot1 = 0, "", 'IWP04'!Std3dot1)</f>
        <v/>
      </c>
      <c r="U491" s="159" t="str">
        <f>IF('IWP04'!Std3dot2AdditionalTasks = 0, "", 'IWP04'!Std3dot2AdditionalTasks)</f>
        <v/>
      </c>
      <c r="V491" s="159" t="str">
        <f>IF('IWP04'!Std3dot2Month1 = 0, "", 'IWP04'!Std3dot2Month1)</f>
        <v/>
      </c>
      <c r="W491" s="108">
        <f>IF('IWP04'!Std3dot2Month1Date =DATE(1900,1,0),DATE(1900,1,1),'IWP04'!Std3dot2Month1Date)</f>
        <v>1</v>
      </c>
      <c r="X491" s="159" t="str">
        <f>IF('IWP04'!Std3dot2Month2 = 0, "", 'IWP04'!Std3dot2Month2)</f>
        <v/>
      </c>
      <c r="Y491" s="108">
        <f>IF('IWP04'!Std3dot2Month2Date =DATE(1900,1,0),DATE(1900,1,1),'IWP04'!Std3dot2Month2Date)</f>
        <v>1</v>
      </c>
      <c r="Z491" s="159" t="str">
        <f>IF('IWP04'!Std3dot2 = 0, "", 'IWP04'!Std3dot2)</f>
        <v/>
      </c>
      <c r="AA491" s="159" t="str">
        <f>IF('IWP04'!Std3dot3 = 0, "", 'IWP04'!Std3dot3)</f>
        <v/>
      </c>
      <c r="AB491" s="159" t="str">
        <f>IF('IWP04'!Std3dot4 = 0, "", 'IWP04'!Std3dot4)</f>
        <v/>
      </c>
      <c r="AC491" s="159" t="str">
        <f>IF('IWP04'!Std4dot1a = 0, "", 'IWP04'!Std4dot1a)</f>
        <v/>
      </c>
      <c r="AD491" s="159" t="str">
        <f>IF('IWP04'!Std4dot1b = 0, "", 'IWP04'!Std4dot1b)</f>
        <v/>
      </c>
      <c r="AE491" s="159" t="str">
        <f>IF('IWP04'!Std4dot1c = 0, "", 'IWP04'!Std4dot1c)</f>
        <v/>
      </c>
      <c r="AF491" s="159" t="str">
        <f>IF('IWP04'!Std4dot1d = 0, "", 'IWP04'!Std4dot1d)</f>
        <v/>
      </c>
      <c r="AG491" s="159" t="str">
        <f>IF('IWP04'!Std4dot1 = 0, "", 'IWP04'!Std4dot1)</f>
        <v/>
      </c>
      <c r="AH491" s="159" t="str">
        <f>IF('IWP04'!Std5NotCalc = 0, "", 'IWP04'!Std5NotCalc)</f>
        <v/>
      </c>
      <c r="AI491" s="159" t="str">
        <f>IF('IWP04'!Std5dot1 = 0, "", 'IWP04'!Std5dot1)</f>
        <v/>
      </c>
      <c r="AJ491" s="159" t="str">
        <f>IF('IWP04'!Std7dot1NotCalc = 0, "", 'IWP04'!Std7dot1NotCalc)</f>
        <v/>
      </c>
      <c r="AK491" s="116">
        <f>'IWP04'!Std7dot1BalPerCshLog</f>
        <v>0</v>
      </c>
      <c r="AL491" s="116">
        <f>'IWP04'!Std7dot1LessAdj</f>
        <v>0</v>
      </c>
      <c r="AM491" s="116">
        <f>'IWP04'!Std7dot1AdjBal</f>
        <v>0</v>
      </c>
      <c r="AN491" s="116">
        <f>'IWP04'!Std7dot1CshOnHand</f>
        <v>0</v>
      </c>
      <c r="AO491" s="116">
        <f>'IWP04'!Std7dot1PtyCshOvrShrt</f>
        <v>0</v>
      </c>
      <c r="AP491" s="159" t="str">
        <f>IF('IWP04'!Std7dot1OvrShrtCorr = 0, "", 'IWP04'!Std7dot1OvrShrtCorr)</f>
        <v/>
      </c>
      <c r="AQ491" s="159" t="str">
        <f>IF('IWP04'!Std7dot1 = 0, "", 'IWP04'!Std7dot1)</f>
        <v/>
      </c>
      <c r="AR491" s="159" t="str">
        <f>IF('IWP04'!Std9dot1aNotCalc = 0, "", 'IWP04'!Std9dot1aNotCalc)</f>
        <v/>
      </c>
      <c r="AS491" s="159" t="str">
        <f>IF('IWP04'!Std9dot1bNotCalc = 0, "", 'IWP04'!Std9dot1bNotCalc)</f>
        <v/>
      </c>
      <c r="AT491" s="108">
        <f>IF('IWP04'!Std9BalPerBnkStmtDt =DATE(1900,1,0),DATE(1900,1,1),'IWP04'!Std9BalPerBnkStmtDt)</f>
        <v>1</v>
      </c>
      <c r="AU491" s="116">
        <f>'IWP04'!Std9BalPerBnkStmt</f>
        <v>0</v>
      </c>
      <c r="AV491" s="116">
        <f>'IWP04'!Std9TotDepsInTrans</f>
        <v>0</v>
      </c>
      <c r="AW491" s="116">
        <f>'IWP04'!Std9TotOutsChks</f>
        <v>0</v>
      </c>
      <c r="AX491" s="116">
        <f>'IWP04'!Std9AdjBalPerBank</f>
        <v>0</v>
      </c>
      <c r="AY491" s="108">
        <f>IF('IWP04'!Std9TotPtyCshIndvDt =DATE(1900,1,0),DATE(1900,1,1),'IWP04'!Std9TotPtyCshIndvDt)</f>
        <v>1</v>
      </c>
      <c r="AZ491" s="116">
        <f>'IWP04'!Std9TotPtyCshIndv</f>
        <v>0</v>
      </c>
      <c r="BA491" s="116">
        <f>'IWP04'!Std9TotCshBnkAndHnd</f>
        <v>0</v>
      </c>
      <c r="BB491" s="108">
        <f>IF('IWP04'!Std9BalPerBksDt =DATE(1900,1,0),DATE(1900,1,1),'IWP04'!Std9BalPerBksDt)</f>
        <v>1</v>
      </c>
      <c r="BC491" s="116">
        <f>'IWP04'!Std9BalPerBks</f>
        <v>0</v>
      </c>
      <c r="BD491" s="116">
        <f>'IWP04'!Std9UnapplErndInt</f>
        <v>0</v>
      </c>
      <c r="BE491" s="116">
        <f>'IWP04'!Std9UnpstdRcptDsbrsmts</f>
        <v>0</v>
      </c>
      <c r="BF491" s="116">
        <f>'IWP04'!Std9NsfChks</f>
        <v>0</v>
      </c>
      <c r="BG491" s="116">
        <f>'IWP04'!Std9AdjBalPerBks</f>
        <v>0</v>
      </c>
      <c r="BH491" s="116">
        <f>'IWP04'!Std9TrstFndAcctOvrShrt</f>
        <v>0</v>
      </c>
      <c r="BI491" s="159" t="str">
        <f>IF('IWP04'!Std9OvrShrtCorrctd = 0, "", 'IWP04'!Std9OvrShrtCorrctd)</f>
        <v/>
      </c>
      <c r="BJ491" s="159" t="str">
        <f>IF('IWP04'!Std9ShrtUnreimbSvcChg = 0, "", 'IWP04'!Std9ShrtUnreimbSvcChg)</f>
        <v/>
      </c>
      <c r="BK491" s="159" t="str">
        <f>IF('IWP04'!Std9dot1 = 0, "", 'IWP04'!Std9dot1)</f>
        <v/>
      </c>
      <c r="BL491" s="159" t="str">
        <f>IF('IWP04'!Std10dot1NotCalc = 0, "", 'IWP04'!Std10dot1NotCalc)</f>
        <v/>
      </c>
      <c r="BM491" s="352">
        <f>IF('IWP04'!FiscalReviewFirstMonth =DATE(1900,1,0),DATE(1900,1,1),'IWP04'!FiscalReviewFirstMonth)</f>
        <v>1</v>
      </c>
      <c r="BN491" s="116">
        <f>'IWP04'!Std10dot1TotalAmt1</f>
        <v>0</v>
      </c>
      <c r="BO491" s="352">
        <f>IF('IWP04'!FiscalReviewSecondMonth =DATE(1900,1,0),DATE(1900,1,1),'IWP04'!FiscalReviewSecondMonth)</f>
        <v>1</v>
      </c>
      <c r="BP491" s="116">
        <f>'IWP04'!Std10dot1TotalAmt2</f>
        <v>0</v>
      </c>
      <c r="BQ491" s="159" t="str">
        <f>IF('IWP04'!Std10dot1 = 0, "", 'IWP04'!Std10dot1)</f>
        <v/>
      </c>
      <c r="BR491" s="159" t="str">
        <f>IF('IWP04'!Std10dot2NotCalc = 0, "", 'IWP04'!Std10dot2NotCalc)</f>
        <v/>
      </c>
      <c r="BS491" s="352">
        <f>IF('IWP04'!FiscalReviewFirstMonth =DATE(1900,1,0),DATE(1900,1,1),'IWP04'!FiscalReviewFirstMonth)</f>
        <v>1</v>
      </c>
      <c r="BT491" s="159" t="str">
        <f>IF('IWP04'!Std10dot2BankChgs1 = 0, "", 'IWP04'!Std10dot2BankChgs1)</f>
        <v/>
      </c>
      <c r="BU491" s="352">
        <f>IF('IWP04'!FiscalReviewSecondMonth =DATE(1900,1,0),DATE(1900,1,1),'IWP04'!FiscalReviewSecondMonth)</f>
        <v>1</v>
      </c>
      <c r="BV491" s="159" t="str">
        <f>IF('IWP04'!Std10dot2BankChgs2 = 0, "", 'IWP04'!Std10dot2BankChgs2)</f>
        <v/>
      </c>
      <c r="BW491" s="159" t="str">
        <f>IF('IWP04'!Std10dot2 = 0, "", 'IWP04'!Std10dot2)</f>
        <v/>
      </c>
      <c r="BX491" s="159" t="str">
        <f>IF('IWP04'!Std10dot3NotCalc = 0, "", 'IWP04'!Std10dot3NotCalc)</f>
        <v/>
      </c>
      <c r="BY491" s="159" t="str">
        <f>IF('IWP04'!Std10dot3 = 0, "", 'IWP04'!Std10dot3)</f>
        <v/>
      </c>
      <c r="BZ491" s="159" t="str">
        <f>IF('IWP04'!Std10dot4NotCalc = 0, "", 'IWP04'!Std10dot4NotCalc)</f>
        <v/>
      </c>
      <c r="CA491" s="159" t="str">
        <f>IF('IWP04'!Std10dot4 = 0, "", 'IWP04'!Std10dot4)</f>
        <v/>
      </c>
      <c r="CB491" s="159" t="str">
        <f>IF('IWP04'!Std10dot5 = 0, "", 'IWP04'!Std10dot5)</f>
        <v/>
      </c>
      <c r="CC491" s="159" t="str">
        <f>IF('IWP04'!Std10dot6NotCalc = 0, "", 'IWP04'!Std10dot6NotCalc)</f>
        <v/>
      </c>
      <c r="CD491" s="159" t="str">
        <f>IF('IWP04'!Std10dot6a = 0, "", 'IWP04'!Std10dot6a)</f>
        <v/>
      </c>
      <c r="CE491" s="159" t="str">
        <f>IF('IWP04'!Std10dot6b = 0, "", 'IWP04'!Std10dot6b)</f>
        <v/>
      </c>
      <c r="CF491" s="159" t="str">
        <f>IF('IWP04'!Std10dot6c = 0, "", 'IWP04'!Std10dot6c)</f>
        <v/>
      </c>
      <c r="CG491" s="159" t="str">
        <f>IF('IWP04'!Std10dot6 = 0, "", 'IWP04'!Std10dot6)</f>
        <v/>
      </c>
      <c r="CH491" s="159" t="str">
        <f>IF('IWP04'!Std11dot1 = 0, "", 'IWP04'!Std11dot1)</f>
        <v/>
      </c>
      <c r="CI491" s="159" t="str">
        <f>IF('IWP04'!Std11dot2 = 0, "", 'IWP04'!Std11dot2)</f>
        <v/>
      </c>
      <c r="CJ491" s="112" t="str">
        <f>'IWP04'!Std11dot3</f>
        <v>NA</v>
      </c>
      <c r="CK491" s="108">
        <f>IF('IWP04'!Std11dot4DtDeathDschg =DATE(1900,1,0),DATE(1900,1,1),'IWP04'!Std11dot4DtDeathDschg)</f>
        <v>1</v>
      </c>
      <c r="CL491" s="116">
        <f>IF('IWP04'!Std11dot4RmBdAmtDue = "", MINVALDBL, 'IWP04'!Std11dot4RmBdAmtDue)</f>
        <v>-99999.99</v>
      </c>
      <c r="CM491" s="116">
        <f>'IWP04'!Std11dot4RmBdAmtRfnd</f>
        <v>0</v>
      </c>
      <c r="CN491" s="108">
        <f>IF('IWP04'!Std11dot4RmBdRfndDt =DATE(1900,1,0),DATE(1900,1,1),'IWP04'!Std11dot4RmBdRfndDt)</f>
        <v>1</v>
      </c>
      <c r="CO491" s="116">
        <f>'IWP04'!Std11dot4CoPayAmtDue</f>
        <v>0</v>
      </c>
      <c r="CP491" s="116">
        <f>'IWP04'!Std11dot4CoPayAmtRfnd</f>
        <v>0</v>
      </c>
      <c r="CQ491" s="108">
        <f>IF('IWP04'!Std11dot4CoPayRfndDt =DATE(1900,1,0),DATE(1900,1,1),'IWP04'!Std11dot4CoPayRfndDt)</f>
        <v>1</v>
      </c>
      <c r="CR491" s="159" t="str">
        <f>IF('IWP04'!Std11dot4LstName = 0, "", 'IWP04'!Std11dot4LstName)</f>
        <v/>
      </c>
      <c r="CS491" s="159" t="str">
        <f>IF('IWP04'!Std11dot4FrstName = 0, "", 'IWP04'!Std11dot4FrstName)</f>
        <v/>
      </c>
      <c r="CT491" s="159" t="str">
        <f>IF('IWP04'!Std11dot4a = 0, "", 'IWP04'!Std11dot4a)</f>
        <v/>
      </c>
      <c r="CU491" s="159" t="str">
        <f>IF('IWP04'!Std11dot4b = 0, "", 'IWP04'!Std11dot4b)</f>
        <v/>
      </c>
      <c r="CV491" s="159" t="str">
        <f>IF('IWP04'!Std11dot4ci = 0, "", 'IWP04'!Std11dot4ci)</f>
        <v/>
      </c>
      <c r="CW491" s="159" t="str">
        <f>IF('IWP04'!Std11dot4cii = 0, "", 'IWP04'!Std11dot4cii)</f>
        <v/>
      </c>
      <c r="CX491" s="159" t="str">
        <f>IF('IWP04'!Std11dot4 = 0, "", 'IWP04'!Std11dot4)</f>
        <v/>
      </c>
      <c r="CY491" s="108">
        <f>IF('IWP04'!FiscalReviewFirstMonth=DATE(1900,1,0),DATE(1900,1,1),'IWP04'!FiscalReviewFirstMonth)</f>
        <v>1</v>
      </c>
      <c r="CZ491" s="123">
        <f>IF('IWP04'!FiscalReviewSecondMonth=DATE(1900,1,0),DATE(1900,1,1),'IWP04'!FiscalReviewSecondMonth)</f>
        <v>1</v>
      </c>
    </row>
    <row r="492" spans="1:104">
      <c r="A492" s="160" t="s">
        <v>818</v>
      </c>
      <c r="B492" s="108">
        <f>IF('Samples (Print)'!D9=DATE(1900,1,0),DATE(1900,1,1),'Samples (Print)'!D9)</f>
        <v>1</v>
      </c>
      <c r="C492" s="108">
        <f>IF('Samples (Print)'!E9=DATE(1900,1,0),DATE(1900,1,1),'Samples (Print)'!E9)</f>
        <v>1</v>
      </c>
      <c r="D492" s="162">
        <f>'IWP05'!SampleNumber</f>
        <v>5</v>
      </c>
      <c r="E492" s="162" t="str">
        <f ca="1">'IWP05'!ClientID</f>
        <v/>
      </c>
      <c r="F492" s="220"/>
      <c r="G492" s="220"/>
      <c r="H492" s="159" t="str">
        <f ca="1">IF('IWP05'!ContractNumber = 0, "", 'IWP05'!ContractNumber)</f>
        <v/>
      </c>
      <c r="I492" s="159" t="str">
        <f>IF('IWP05'!ContractType = 0, "", 'IWP05'!ContractType)</f>
        <v/>
      </c>
      <c r="J492" s="159" t="str">
        <f>IF('IWP05'!CompletedByLastName = 0, "", 'IWP05'!CompletedByLastName)</f>
        <v/>
      </c>
      <c r="K492" s="159" t="str">
        <f>IF('IWP05'!CompletedByFirstName = 0, "", 'IWP05'!CompletedByFirstName)</f>
        <v/>
      </c>
      <c r="L492" s="108">
        <f>IF('IWP05'!DateCompleted =DATE(1900,1,0),DATE(1900,1,1),'IWP05'!DateCompleted)</f>
        <v>1</v>
      </c>
      <c r="M492" s="159" t="str">
        <f>IF('IWP05'!Std3NotCalc = 0, "", 'IWP05'!Std3NotCalc)</f>
        <v/>
      </c>
      <c r="N492" s="108">
        <f>IF('IWP05'!Std3dot1aDate =DATE(1900,1,0),DATE(1900,1,1),'IWP05'!Std3dot1aDate)</f>
        <v>1</v>
      </c>
      <c r="O492" s="159" t="str">
        <f>IF('IWP05'!Std3dot1a = 0, "", 'IWP05'!Std3dot1a)</f>
        <v/>
      </c>
      <c r="P492" s="108">
        <f>IF('IWP05'!Std3dot1bDate=DATE(1900,1,0), DATE(1900,1,1), 'IWP05'!Std3dot1bDate)</f>
        <v>1</v>
      </c>
      <c r="Q492" s="159" t="str">
        <f>IF('IWP05'!Std3dot1b = 0, "", 'IWP05'!Std3dot1b)</f>
        <v/>
      </c>
      <c r="R492" s="108">
        <f t="shared" si="0"/>
        <v>1</v>
      </c>
      <c r="S492" s="159"/>
      <c r="T492" s="159" t="str">
        <f>IF('IWP05'!Std3dot1 = 0, "", 'IWP05'!Std3dot1)</f>
        <v/>
      </c>
      <c r="U492" s="159" t="str">
        <f>IF('IWP05'!Std3dot2AdditionalTasks = 0, "", 'IWP05'!Std3dot2AdditionalTasks)</f>
        <v/>
      </c>
      <c r="V492" s="159" t="str">
        <f>IF('IWP05'!Std3dot2Month1 = 0, "", 'IWP05'!Std3dot2Month1)</f>
        <v/>
      </c>
      <c r="W492" s="108">
        <f>IF('IWP05'!Std3dot2Month1Date =DATE(1900,1,0),DATE(1900,1,1),'IWP05'!Std3dot2Month1Date)</f>
        <v>1</v>
      </c>
      <c r="X492" s="159" t="str">
        <f>IF('IWP05'!Std3dot2Month2 = 0, "", 'IWP05'!Std3dot2Month2)</f>
        <v/>
      </c>
      <c r="Y492" s="108">
        <f>IF('IWP05'!Std3dot2Month2Date =DATE(1900,1,0),DATE(1900,1,1),'IWP05'!Std3dot2Month2Date)</f>
        <v>1</v>
      </c>
      <c r="Z492" s="159" t="str">
        <f>IF('IWP05'!Std3dot2 = 0, "", 'IWP05'!Std3dot2)</f>
        <v/>
      </c>
      <c r="AA492" s="159" t="str">
        <f>IF('IWP05'!Std3dot3 = 0, "", 'IWP05'!Std3dot3)</f>
        <v/>
      </c>
      <c r="AB492" s="159" t="str">
        <f>IF('IWP05'!Std3dot4 = 0, "", 'IWP05'!Std3dot4)</f>
        <v/>
      </c>
      <c r="AC492" s="159" t="str">
        <f>IF('IWP05'!Std4dot1a = 0, "", 'IWP05'!Std4dot1a)</f>
        <v/>
      </c>
      <c r="AD492" s="159" t="str">
        <f>IF('IWP05'!Std4dot1b = 0, "", 'IWP05'!Std4dot1b)</f>
        <v/>
      </c>
      <c r="AE492" s="159" t="str">
        <f>IF('IWP05'!Std4dot1c = 0, "", 'IWP05'!Std4dot1c)</f>
        <v/>
      </c>
      <c r="AF492" s="159" t="str">
        <f>IF('IWP05'!Std4dot1d = 0, "", 'IWP05'!Std4dot1d)</f>
        <v/>
      </c>
      <c r="AG492" s="159" t="str">
        <f>IF('IWP05'!Std4dot1 = 0, "", 'IWP05'!Std4dot1)</f>
        <v/>
      </c>
      <c r="AH492" s="159" t="str">
        <f>IF('IWP05'!Std5NotCalc = 0, "", 'IWP05'!Std5NotCalc)</f>
        <v/>
      </c>
      <c r="AI492" s="159" t="str">
        <f>IF('IWP05'!Std5dot1 = 0, "", 'IWP05'!Std5dot1)</f>
        <v/>
      </c>
      <c r="AJ492" s="159" t="str">
        <f>IF('IWP05'!Std7dot1NotCalc = 0, "", 'IWP05'!Std7dot1NotCalc)</f>
        <v/>
      </c>
      <c r="AK492" s="116">
        <f>'IWP05'!Std7dot1BalPerCshLog</f>
        <v>0</v>
      </c>
      <c r="AL492" s="116">
        <f>'IWP05'!Std7dot1LessAdj</f>
        <v>0</v>
      </c>
      <c r="AM492" s="116">
        <f>'IWP05'!Std7dot1AdjBal</f>
        <v>0</v>
      </c>
      <c r="AN492" s="116">
        <f>'IWP05'!Std7dot1CshOnHand</f>
        <v>0</v>
      </c>
      <c r="AO492" s="116">
        <f>'IWP05'!Std7dot1PtyCshOvrShrt</f>
        <v>0</v>
      </c>
      <c r="AP492" s="159" t="str">
        <f>IF('IWP05'!Std7dot1OvrShrtCorr = 0, "", 'IWP05'!Std7dot1OvrShrtCorr)</f>
        <v/>
      </c>
      <c r="AQ492" s="159" t="str">
        <f>IF('IWP05'!Std7dot1 = 0, "", 'IWP05'!Std7dot1)</f>
        <v/>
      </c>
      <c r="AR492" s="159" t="str">
        <f>IF('IWP05'!Std9dot1aNotCalc = 0, "", 'IWP05'!Std9dot1aNotCalc)</f>
        <v/>
      </c>
      <c r="AS492" s="159" t="str">
        <f>IF('IWP05'!Std9dot1bNotCalc = 0, "", 'IWP05'!Std9dot1bNotCalc)</f>
        <v/>
      </c>
      <c r="AT492" s="108">
        <f>IF('IWP05'!Std9BalPerBnkStmtDt =DATE(1900,1,0),DATE(1900,1,1),'IWP05'!Std9BalPerBnkStmtDt)</f>
        <v>1</v>
      </c>
      <c r="AU492" s="116">
        <f>'IWP05'!Std9BalPerBnkStmt</f>
        <v>0</v>
      </c>
      <c r="AV492" s="116">
        <f>'IWP05'!Std9TotDepsInTrans</f>
        <v>0</v>
      </c>
      <c r="AW492" s="116">
        <f>'IWP05'!Std9TotOutsChks</f>
        <v>0</v>
      </c>
      <c r="AX492" s="116">
        <f>'IWP05'!Std9AdjBalPerBank</f>
        <v>0</v>
      </c>
      <c r="AY492" s="108">
        <f>IF('IWP05'!Std9TotPtyCshIndvDt =DATE(1900,1,0),DATE(1900,1,1),'IWP05'!Std9TotPtyCshIndvDt)</f>
        <v>1</v>
      </c>
      <c r="AZ492" s="116">
        <f>'IWP05'!Std9TotPtyCshIndv</f>
        <v>0</v>
      </c>
      <c r="BA492" s="116">
        <f>'IWP05'!Std9TotCshBnkAndHnd</f>
        <v>0</v>
      </c>
      <c r="BB492" s="108">
        <f>IF('IWP05'!Std9BalPerBksDt =DATE(1900,1,0),DATE(1900,1,1),'IWP05'!Std9BalPerBksDt)</f>
        <v>1</v>
      </c>
      <c r="BC492" s="116">
        <f>'IWP05'!Std9BalPerBks</f>
        <v>0</v>
      </c>
      <c r="BD492" s="116">
        <f>'IWP05'!Std9UnapplErndInt</f>
        <v>0</v>
      </c>
      <c r="BE492" s="116">
        <f>'IWP05'!Std9UnpstdRcptDsbrsmts</f>
        <v>0</v>
      </c>
      <c r="BF492" s="116">
        <f>'IWP05'!Std9NsfChks</f>
        <v>0</v>
      </c>
      <c r="BG492" s="116">
        <f>'IWP05'!Std9AdjBalPerBks</f>
        <v>0</v>
      </c>
      <c r="BH492" s="116">
        <f>'IWP05'!Std9TrstFndAcctOvrShrt</f>
        <v>0</v>
      </c>
      <c r="BI492" s="159" t="str">
        <f>IF('IWP05'!Std9OvrShrtCorrctd = 0, "", 'IWP05'!Std9OvrShrtCorrctd)</f>
        <v/>
      </c>
      <c r="BJ492" s="159" t="str">
        <f>IF('IWP05'!Std9ShrtUnreimbSvcChg = 0, "", 'IWP05'!Std9ShrtUnreimbSvcChg)</f>
        <v/>
      </c>
      <c r="BK492" s="159" t="str">
        <f>IF('IWP05'!Std9dot1 = 0, "", 'IWP05'!Std9dot1)</f>
        <v/>
      </c>
      <c r="BL492" s="159" t="str">
        <f>IF('IWP05'!Std10dot1NotCalc = 0, "", 'IWP05'!Std10dot1NotCalc)</f>
        <v/>
      </c>
      <c r="BM492" s="352">
        <f>IF('IWP05'!FiscalReviewFirstMonth =DATE(1900,1,0),DATE(1900,1,1),'IWP05'!FiscalReviewFirstMonth)</f>
        <v>1</v>
      </c>
      <c r="BN492" s="116">
        <f>'IWP05'!Std10dot1TotalAmt1</f>
        <v>0</v>
      </c>
      <c r="BO492" s="352">
        <f>IF('IWP05'!FiscalReviewSecondMonth =DATE(1900,1,0),DATE(1900,1,1),'IWP05'!FiscalReviewSecondMonth)</f>
        <v>1</v>
      </c>
      <c r="BP492" s="116">
        <f>'IWP05'!Std10dot1TotalAmt2</f>
        <v>0</v>
      </c>
      <c r="BQ492" s="159" t="str">
        <f>IF('IWP05'!Std10dot1 = 0, "", 'IWP05'!Std10dot1)</f>
        <v/>
      </c>
      <c r="BR492" s="159" t="str">
        <f>IF('IWP05'!Std10dot2NotCalc = 0, "", 'IWP05'!Std10dot2NotCalc)</f>
        <v/>
      </c>
      <c r="BS492" s="352">
        <f>IF('IWP05'!FiscalReviewFirstMonth =DATE(1900,1,0),DATE(1900,1,1),'IWP05'!FiscalReviewFirstMonth)</f>
        <v>1</v>
      </c>
      <c r="BT492" s="159" t="str">
        <f>IF('IWP05'!Std10dot2BankChgs1 = 0, "", 'IWP05'!Std10dot2BankChgs1)</f>
        <v/>
      </c>
      <c r="BU492" s="352">
        <f>IF('IWP05'!FiscalReviewSecondMonth =DATE(1900,1,0),DATE(1900,1,1),'IWP05'!FiscalReviewSecondMonth)</f>
        <v>1</v>
      </c>
      <c r="BV492" s="159" t="str">
        <f>IF('IWP05'!Std10dot2BankChgs2 = 0, "", 'IWP05'!Std10dot2BankChgs2)</f>
        <v/>
      </c>
      <c r="BW492" s="159" t="str">
        <f>IF('IWP05'!Std10dot2 = 0, "", 'IWP05'!Std10dot2)</f>
        <v/>
      </c>
      <c r="BX492" s="159" t="str">
        <f>IF('IWP05'!Std10dot3NotCalc = 0, "", 'IWP05'!Std10dot3NotCalc)</f>
        <v/>
      </c>
      <c r="BY492" s="159" t="str">
        <f>IF('IWP05'!Std10dot3 = 0, "", 'IWP05'!Std10dot3)</f>
        <v/>
      </c>
      <c r="BZ492" s="159" t="str">
        <f>IF('IWP05'!Std10dot4NotCalc = 0, "", 'IWP05'!Std10dot4NotCalc)</f>
        <v/>
      </c>
      <c r="CA492" s="159" t="str">
        <f>IF('IWP05'!Std10dot4 = 0, "", 'IWP05'!Std10dot4)</f>
        <v/>
      </c>
      <c r="CB492" s="159" t="str">
        <f>IF('IWP05'!Std10dot5 = 0, "", 'IWP05'!Std10dot5)</f>
        <v/>
      </c>
      <c r="CC492" s="159" t="str">
        <f>IF('IWP05'!Std10dot6NotCalc = 0, "", 'IWP05'!Std10dot6NotCalc)</f>
        <v/>
      </c>
      <c r="CD492" s="159" t="str">
        <f>IF('IWP05'!Std10dot6a = 0, "", 'IWP05'!Std10dot6a)</f>
        <v/>
      </c>
      <c r="CE492" s="159" t="str">
        <f>IF('IWP05'!Std10dot6b = 0, "", 'IWP05'!Std10dot6b)</f>
        <v/>
      </c>
      <c r="CF492" s="159" t="str">
        <f>IF('IWP05'!Std10dot6c = 0, "", 'IWP05'!Std10dot6c)</f>
        <v/>
      </c>
      <c r="CG492" s="159" t="str">
        <f>IF('IWP05'!Std10dot6 = 0, "", 'IWP05'!Std10dot6)</f>
        <v/>
      </c>
      <c r="CH492" s="159" t="str">
        <f>IF('IWP05'!Std11dot1 = 0, "", 'IWP05'!Std11dot1)</f>
        <v/>
      </c>
      <c r="CI492" s="159" t="str">
        <f>IF('IWP05'!Std11dot2 = 0, "", 'IWP05'!Std11dot2)</f>
        <v/>
      </c>
      <c r="CJ492" s="112" t="str">
        <f>'IWP05'!Std11dot3</f>
        <v>NA</v>
      </c>
      <c r="CK492" s="108">
        <f>IF('IWP05'!Std11dot4DtDeathDschg =DATE(1900,1,0),DATE(1900,1,1),'IWP05'!Std11dot4DtDeathDschg)</f>
        <v>1</v>
      </c>
      <c r="CL492" s="116">
        <f>IF('IWP05'!Std11dot4RmBdAmtDue = "", MINVALDBL, 'IWP05'!Std11dot4RmBdAmtDue)</f>
        <v>-99999.99</v>
      </c>
      <c r="CM492" s="116">
        <f>'IWP05'!Std11dot4RmBdAmtRfnd</f>
        <v>0</v>
      </c>
      <c r="CN492" s="108">
        <f>IF('IWP05'!Std11dot4RmBdRfndDt =DATE(1900,1,0),DATE(1900,1,1),'IWP05'!Std11dot4RmBdRfndDt)</f>
        <v>1</v>
      </c>
      <c r="CO492" s="116">
        <f>'IWP05'!Std11dot4CoPayAmtDue</f>
        <v>0</v>
      </c>
      <c r="CP492" s="116">
        <f>'IWP05'!Std11dot4CoPayAmtRfnd</f>
        <v>0</v>
      </c>
      <c r="CQ492" s="108">
        <f>IF('IWP05'!Std11dot4CoPayRfndDt =DATE(1900,1,0),DATE(1900,1,1),'IWP05'!Std11dot4CoPayRfndDt)</f>
        <v>1</v>
      </c>
      <c r="CR492" s="159" t="str">
        <f>IF('IWP05'!Std11dot4LstName = 0, "", 'IWP05'!Std11dot4LstName)</f>
        <v/>
      </c>
      <c r="CS492" s="159" t="str">
        <f>IF('IWP05'!Std11dot4FrstName = 0, "", 'IWP05'!Std11dot4FrstName)</f>
        <v/>
      </c>
      <c r="CT492" s="159" t="str">
        <f>IF('IWP05'!Std11dot4a = 0, "", 'IWP05'!Std11dot4a)</f>
        <v/>
      </c>
      <c r="CU492" s="159" t="str">
        <f>IF('IWP05'!Std11dot4b = 0, "", 'IWP05'!Std11dot4b)</f>
        <v/>
      </c>
      <c r="CV492" s="159" t="str">
        <f>IF('IWP05'!Std11dot4ci = 0, "", 'IWP05'!Std11dot4ci)</f>
        <v/>
      </c>
      <c r="CW492" s="159" t="str">
        <f>IF('IWP05'!Std11dot4cii = 0, "", 'IWP05'!Std11dot4cii)</f>
        <v/>
      </c>
      <c r="CX492" s="159" t="str">
        <f>IF('IWP05'!Std11dot4 = 0, "", 'IWP05'!Std11dot4)</f>
        <v/>
      </c>
      <c r="CY492" s="108">
        <f>IF('IWP05'!FiscalReviewFirstMonth=DATE(1900,1,0),DATE(1900,1,1),'IWP05'!FiscalReviewFirstMonth)</f>
        <v>1</v>
      </c>
      <c r="CZ492" s="123">
        <f>IF('IWP05'!FiscalReviewSecondMonth=DATE(1900,1,0),DATE(1900,1,1),'IWP05'!FiscalReviewSecondMonth)</f>
        <v>1</v>
      </c>
    </row>
    <row r="493" spans="1:104">
      <c r="A493" s="160" t="s">
        <v>819</v>
      </c>
      <c r="B493" s="108">
        <f>IF('Samples (Print)'!D10=DATE(1900,1,0),DATE(1900,1,1),'Samples (Print)'!D10)</f>
        <v>1</v>
      </c>
      <c r="C493" s="108">
        <f>IF('Samples (Print)'!E10=DATE(1900,1,0),DATE(1900,1,1),'Samples (Print)'!E10)</f>
        <v>1</v>
      </c>
      <c r="D493" s="162">
        <f>'IWP06'!SampleNumber</f>
        <v>6</v>
      </c>
      <c r="E493" s="162" t="str">
        <f ca="1">'IWP06'!ClientID</f>
        <v/>
      </c>
      <c r="F493" s="220"/>
      <c r="G493" s="220"/>
      <c r="H493" s="159" t="str">
        <f ca="1">IF('IWP06'!ContractNumber = 0, "", 'IWP06'!ContractNumber)</f>
        <v/>
      </c>
      <c r="I493" s="159" t="str">
        <f>IF('IWP06'!ContractType = 0, "", 'IWP06'!ContractType)</f>
        <v/>
      </c>
      <c r="J493" s="159" t="str">
        <f>IF('IWP06'!CompletedByLastName = 0, "", 'IWP06'!CompletedByLastName)</f>
        <v/>
      </c>
      <c r="K493" s="159" t="str">
        <f>IF('IWP06'!CompletedByFirstName = 0, "", 'IWP06'!CompletedByFirstName)</f>
        <v/>
      </c>
      <c r="L493" s="108">
        <f>IF('IWP06'!DateCompleted =DATE(1900,1,0),DATE(1900,1,1),'IWP06'!DateCompleted)</f>
        <v>1</v>
      </c>
      <c r="M493" s="159" t="str">
        <f>IF('IWP06'!Std3NotCalc = 0, "", 'IWP06'!Std3NotCalc)</f>
        <v/>
      </c>
      <c r="N493" s="108">
        <f>IF('IWP06'!Std3dot1aDate =DATE(1900,1,0),DATE(1900,1,1),'IWP06'!Std3dot1aDate)</f>
        <v>1</v>
      </c>
      <c r="O493" s="159" t="str">
        <f>IF('IWP06'!Std3dot1a = 0, "", 'IWP06'!Std3dot1a)</f>
        <v/>
      </c>
      <c r="P493" s="108">
        <f>IF('IWP06'!Std3dot1bDate=DATE(1900,1,0), DATE(1900,1,1), 'IWP06'!Std3dot1bDate)</f>
        <v>1</v>
      </c>
      <c r="Q493" s="159" t="str">
        <f>IF('IWP06'!Std3dot1b = 0, "", 'IWP06'!Std3dot1b)</f>
        <v/>
      </c>
      <c r="R493" s="108">
        <f t="shared" si="0"/>
        <v>1</v>
      </c>
      <c r="S493" s="159"/>
      <c r="T493" s="159" t="str">
        <f>IF('IWP06'!Std3dot1 = 0, "", 'IWP06'!Std3dot1)</f>
        <v/>
      </c>
      <c r="U493" s="159" t="str">
        <f>IF('IWP06'!Std3dot2AdditionalTasks = 0, "", 'IWP06'!Std3dot2AdditionalTasks)</f>
        <v/>
      </c>
      <c r="V493" s="159" t="str">
        <f>IF('IWP06'!Std3dot2Month1 = 0, "", 'IWP06'!Std3dot2Month1)</f>
        <v/>
      </c>
      <c r="W493" s="108">
        <f>IF('IWP06'!Std3dot2Month1Date =DATE(1900,1,0),DATE(1900,1,1),'IWP06'!Std3dot2Month1Date)</f>
        <v>1</v>
      </c>
      <c r="X493" s="159" t="str">
        <f>IF('IWP06'!Std3dot2Month2 = 0, "", 'IWP06'!Std3dot2Month2)</f>
        <v/>
      </c>
      <c r="Y493" s="108">
        <f>IF('IWP06'!Std3dot2Month2Date =DATE(1900,1,0),DATE(1900,1,1),'IWP06'!Std3dot2Month2Date)</f>
        <v>1</v>
      </c>
      <c r="Z493" s="159" t="str">
        <f>IF('IWP06'!Std3dot2 = 0, "", 'IWP06'!Std3dot2)</f>
        <v/>
      </c>
      <c r="AA493" s="159" t="str">
        <f>IF('IWP06'!Std3dot3 = 0, "", 'IWP06'!Std3dot3)</f>
        <v/>
      </c>
      <c r="AB493" s="159" t="str">
        <f>IF('IWP06'!Std3dot4 = 0, "", 'IWP06'!Std3dot4)</f>
        <v/>
      </c>
      <c r="AC493" s="159" t="str">
        <f>IF('IWP06'!Std4dot1a = 0, "", 'IWP06'!Std4dot1a)</f>
        <v/>
      </c>
      <c r="AD493" s="159" t="str">
        <f>IF('IWP06'!Std4dot1b = 0, "", 'IWP06'!Std4dot1b)</f>
        <v/>
      </c>
      <c r="AE493" s="159" t="str">
        <f>IF('IWP06'!Std4dot1c = 0, "", 'IWP06'!Std4dot1c)</f>
        <v/>
      </c>
      <c r="AF493" s="159" t="str">
        <f>IF('IWP06'!Std4dot1d = 0, "", 'IWP06'!Std4dot1d)</f>
        <v/>
      </c>
      <c r="AG493" s="159" t="str">
        <f>IF('IWP06'!Std4dot1 = 0, "", 'IWP06'!Std4dot1)</f>
        <v/>
      </c>
      <c r="AH493" s="159" t="str">
        <f>IF('IWP06'!Std5NotCalc = 0, "", 'IWP06'!Std5NotCalc)</f>
        <v/>
      </c>
      <c r="AI493" s="159" t="str">
        <f>IF('IWP06'!Std5dot1 = 0, "", 'IWP06'!Std5dot1)</f>
        <v/>
      </c>
      <c r="AJ493" s="159" t="str">
        <f>IF('IWP06'!Std7dot1NotCalc = 0, "", 'IWP06'!Std7dot1NotCalc)</f>
        <v/>
      </c>
      <c r="AK493" s="116">
        <f>'IWP06'!Std7dot1BalPerCshLog</f>
        <v>0</v>
      </c>
      <c r="AL493" s="116">
        <f>'IWP06'!Std7dot1LessAdj</f>
        <v>0</v>
      </c>
      <c r="AM493" s="116">
        <f>'IWP06'!Std7dot1AdjBal</f>
        <v>0</v>
      </c>
      <c r="AN493" s="116">
        <f>'IWP06'!Std7dot1CshOnHand</f>
        <v>0</v>
      </c>
      <c r="AO493" s="116">
        <f>'IWP06'!Std7dot1PtyCshOvrShrt</f>
        <v>0</v>
      </c>
      <c r="AP493" s="159" t="str">
        <f>IF('IWP06'!Std7dot1OvrShrtCorr = 0, "", 'IWP06'!Std7dot1OvrShrtCorr)</f>
        <v/>
      </c>
      <c r="AQ493" s="159" t="str">
        <f>IF('IWP06'!Std7dot1 = 0, "", 'IWP06'!Std7dot1)</f>
        <v/>
      </c>
      <c r="AR493" s="159" t="str">
        <f>IF('IWP06'!Std9dot1aNotCalc = 0, "", 'IWP06'!Std9dot1aNotCalc)</f>
        <v/>
      </c>
      <c r="AS493" s="159" t="str">
        <f>IF('IWP06'!Std9dot1bNotCalc = 0, "", 'IWP06'!Std9dot1bNotCalc)</f>
        <v/>
      </c>
      <c r="AT493" s="108">
        <f>IF('IWP06'!Std9BalPerBnkStmtDt =DATE(1900,1,0),DATE(1900,1,1),'IWP06'!Std9BalPerBnkStmtDt)</f>
        <v>1</v>
      </c>
      <c r="AU493" s="116">
        <f>'IWP06'!Std9BalPerBnkStmt</f>
        <v>0</v>
      </c>
      <c r="AV493" s="116">
        <f>'IWP06'!Std9TotDepsInTrans</f>
        <v>0</v>
      </c>
      <c r="AW493" s="116">
        <f>'IWP06'!Std9TotOutsChks</f>
        <v>0</v>
      </c>
      <c r="AX493" s="116">
        <f>'IWP06'!Std9AdjBalPerBank</f>
        <v>0</v>
      </c>
      <c r="AY493" s="108">
        <f>IF('IWP06'!Std9TotPtyCshIndvDt =DATE(1900,1,0),DATE(1900,1,1),'IWP06'!Std9TotPtyCshIndvDt)</f>
        <v>1</v>
      </c>
      <c r="AZ493" s="116">
        <f>'IWP06'!Std9TotPtyCshIndv</f>
        <v>0</v>
      </c>
      <c r="BA493" s="116">
        <f>'IWP06'!Std9TotCshBnkAndHnd</f>
        <v>0</v>
      </c>
      <c r="BB493" s="108">
        <f>IF('IWP06'!Std9BalPerBksDt =DATE(1900,1,0),DATE(1900,1,1),'IWP06'!Std9BalPerBksDt)</f>
        <v>1</v>
      </c>
      <c r="BC493" s="116">
        <f>'IWP06'!Std9BalPerBks</f>
        <v>0</v>
      </c>
      <c r="BD493" s="116">
        <f>'IWP06'!Std9UnapplErndInt</f>
        <v>0</v>
      </c>
      <c r="BE493" s="116">
        <f>'IWP06'!Std9UnpstdRcptDsbrsmts</f>
        <v>0</v>
      </c>
      <c r="BF493" s="116">
        <f>'IWP06'!Std9NsfChks</f>
        <v>0</v>
      </c>
      <c r="BG493" s="116">
        <f>'IWP06'!Std9AdjBalPerBks</f>
        <v>0</v>
      </c>
      <c r="BH493" s="116">
        <f>'IWP06'!Std9TrstFndAcctOvrShrt</f>
        <v>0</v>
      </c>
      <c r="BI493" s="159" t="str">
        <f>IF('IWP06'!Std9OvrShrtCorrctd = 0, "", 'IWP06'!Std9OvrShrtCorrctd)</f>
        <v/>
      </c>
      <c r="BJ493" s="159" t="str">
        <f>IF('IWP06'!Std9ShrtUnreimbSvcChg = 0, "", 'IWP06'!Std9ShrtUnreimbSvcChg)</f>
        <v/>
      </c>
      <c r="BK493" s="159" t="str">
        <f>IF('IWP06'!Std9dot1 = 0, "", 'IWP06'!Std9dot1)</f>
        <v/>
      </c>
      <c r="BL493" s="159" t="str">
        <f>IF('IWP06'!Std10dot1NotCalc = 0, "", 'IWP06'!Std10dot1NotCalc)</f>
        <v/>
      </c>
      <c r="BM493" s="352">
        <f>IF('IWP06'!FiscalReviewFirstMonth =DATE(1900,1,0),DATE(1900,1,1),'IWP06'!FiscalReviewFirstMonth)</f>
        <v>1</v>
      </c>
      <c r="BN493" s="116">
        <f>'IWP06'!Std10dot1TotalAmt1</f>
        <v>0</v>
      </c>
      <c r="BO493" s="352">
        <f>IF('IWP06'!FiscalReviewSecondMonth =DATE(1900,1,0),DATE(1900,1,1),'IWP06'!FiscalReviewSecondMonth)</f>
        <v>1</v>
      </c>
      <c r="BP493" s="116">
        <f>'IWP06'!Std10dot1TotalAmt2</f>
        <v>0</v>
      </c>
      <c r="BQ493" s="159" t="str">
        <f>IF('IWP06'!Std10dot1 = 0, "", 'IWP06'!Std10dot1)</f>
        <v/>
      </c>
      <c r="BR493" s="159" t="str">
        <f>IF('IWP06'!Std10dot2NotCalc = 0, "", 'IWP06'!Std10dot2NotCalc)</f>
        <v/>
      </c>
      <c r="BS493" s="352">
        <f>IF('IWP06'!FiscalReviewFirstMonth =DATE(1900,1,0),DATE(1900,1,1),'IWP06'!FiscalReviewFirstMonth)</f>
        <v>1</v>
      </c>
      <c r="BT493" s="159" t="str">
        <f>IF('IWP06'!Std10dot2BankChgs1 = 0, "", 'IWP06'!Std10dot2BankChgs1)</f>
        <v/>
      </c>
      <c r="BU493" s="352">
        <f>IF('IWP06'!FiscalReviewSecondMonth =DATE(1900,1,0),DATE(1900,1,1),'IWP06'!FiscalReviewSecondMonth)</f>
        <v>1</v>
      </c>
      <c r="BV493" s="159" t="str">
        <f>IF('IWP06'!Std10dot2BankChgs2 = 0, "", 'IWP06'!Std10dot2BankChgs2)</f>
        <v/>
      </c>
      <c r="BW493" s="159" t="str">
        <f>IF('IWP06'!Std10dot2 = 0, "", 'IWP06'!Std10dot2)</f>
        <v/>
      </c>
      <c r="BX493" s="159" t="str">
        <f>IF('IWP06'!Std10dot3NotCalc = 0, "", 'IWP06'!Std10dot3NotCalc)</f>
        <v/>
      </c>
      <c r="BY493" s="159" t="str">
        <f>IF('IWP06'!Std10dot3 = 0, "", 'IWP06'!Std10dot3)</f>
        <v/>
      </c>
      <c r="BZ493" s="159" t="str">
        <f>IF('IWP06'!Std10dot4NotCalc = 0, "", 'IWP06'!Std10dot4NotCalc)</f>
        <v/>
      </c>
      <c r="CA493" s="159" t="str">
        <f>IF('IWP06'!Std10dot4 = 0, "", 'IWP06'!Std10dot4)</f>
        <v/>
      </c>
      <c r="CB493" s="159" t="str">
        <f>IF('IWP06'!Std10dot5 = 0, "", 'IWP06'!Std10dot5)</f>
        <v/>
      </c>
      <c r="CC493" s="159" t="str">
        <f>IF('IWP06'!Std10dot6NotCalc = 0, "", 'IWP06'!Std10dot6NotCalc)</f>
        <v/>
      </c>
      <c r="CD493" s="159" t="str">
        <f>IF('IWP06'!Std10dot6a = 0, "", 'IWP06'!Std10dot6a)</f>
        <v/>
      </c>
      <c r="CE493" s="159" t="str">
        <f>IF('IWP06'!Std10dot6b = 0, "", 'IWP06'!Std10dot6b)</f>
        <v/>
      </c>
      <c r="CF493" s="159" t="str">
        <f>IF('IWP06'!Std10dot6c = 0, "", 'IWP06'!Std10dot6c)</f>
        <v/>
      </c>
      <c r="CG493" s="159" t="str">
        <f>IF('IWP06'!Std10dot6 = 0, "", 'IWP06'!Std10dot6)</f>
        <v/>
      </c>
      <c r="CH493" s="159" t="str">
        <f>IF('IWP06'!Std11dot1 = 0, "", 'IWP06'!Std11dot1)</f>
        <v/>
      </c>
      <c r="CI493" s="159" t="str">
        <f>IF('IWP06'!Std11dot2 = 0, "", 'IWP06'!Std11dot2)</f>
        <v/>
      </c>
      <c r="CJ493" s="112" t="str">
        <f>'IWP06'!Std11dot3</f>
        <v>NA</v>
      </c>
      <c r="CK493" s="108">
        <f>IF('IWP06'!Std11dot4DtDeathDschg =DATE(1900,1,0),DATE(1900,1,1),'IWP06'!Std11dot4DtDeathDschg)</f>
        <v>1</v>
      </c>
      <c r="CL493" s="116">
        <f>IF('IWP06'!Std11dot4RmBdAmtDue = "", MINVALDBL, 'IWP06'!Std11dot4RmBdAmtDue)</f>
        <v>-99999.99</v>
      </c>
      <c r="CM493" s="116">
        <f>'IWP06'!Std11dot4RmBdAmtRfnd</f>
        <v>0</v>
      </c>
      <c r="CN493" s="108">
        <f>IF('IWP06'!Std11dot4RmBdRfndDt =DATE(1900,1,0),DATE(1900,1,1),'IWP06'!Std11dot4RmBdRfndDt)</f>
        <v>1</v>
      </c>
      <c r="CO493" s="116">
        <f>'IWP06'!Std11dot4CoPayAmtDue</f>
        <v>0</v>
      </c>
      <c r="CP493" s="116">
        <f>'IWP06'!Std11dot4CoPayAmtRfnd</f>
        <v>0</v>
      </c>
      <c r="CQ493" s="108">
        <f>IF('IWP06'!Std11dot4CoPayRfndDt =DATE(1900,1,0),DATE(1900,1,1),'IWP06'!Std11dot4CoPayRfndDt)</f>
        <v>1</v>
      </c>
      <c r="CR493" s="159" t="str">
        <f>IF('IWP06'!Std11dot4LstName = 0, "", 'IWP06'!Std11dot4LstName)</f>
        <v/>
      </c>
      <c r="CS493" s="159" t="str">
        <f>IF('IWP06'!Std11dot4FrstName = 0, "", 'IWP06'!Std11dot4FrstName)</f>
        <v/>
      </c>
      <c r="CT493" s="159" t="str">
        <f>IF('IWP06'!Std11dot4a = 0, "", 'IWP06'!Std11dot4a)</f>
        <v/>
      </c>
      <c r="CU493" s="159" t="str">
        <f>IF('IWP06'!Std11dot4b = 0, "", 'IWP06'!Std11dot4b)</f>
        <v/>
      </c>
      <c r="CV493" s="159" t="str">
        <f>IF('IWP06'!Std11dot4ci = 0, "", 'IWP06'!Std11dot4ci)</f>
        <v/>
      </c>
      <c r="CW493" s="159" t="str">
        <f>IF('IWP06'!Std11dot4cii = 0, "", 'IWP06'!Std11dot4cii)</f>
        <v/>
      </c>
      <c r="CX493" s="159" t="str">
        <f>IF('IWP06'!Std11dot4 = 0, "", 'IWP06'!Std11dot4)</f>
        <v/>
      </c>
      <c r="CY493" s="108">
        <f>IF('IWP06'!FiscalReviewFirstMonth=DATE(1900,1,0),DATE(1900,1,1),'IWP06'!FiscalReviewFirstMonth)</f>
        <v>1</v>
      </c>
      <c r="CZ493" s="123">
        <f>IF('IWP06'!FiscalReviewSecondMonth=DATE(1900,1,0),DATE(1900,1,1),'IWP06'!FiscalReviewSecondMonth)</f>
        <v>1</v>
      </c>
    </row>
    <row r="494" spans="1:104">
      <c r="A494" s="160" t="s">
        <v>820</v>
      </c>
      <c r="B494" s="108">
        <f>IF('Samples (Print)'!D11=DATE(1900,1,0),DATE(1900,1,1),'Samples (Print)'!D11)</f>
        <v>1</v>
      </c>
      <c r="C494" s="108">
        <f>IF('Samples (Print)'!E11=DATE(1900,1,0),DATE(1900,1,1),'Samples (Print)'!E11)</f>
        <v>1</v>
      </c>
      <c r="D494" s="162">
        <f>'IWP07'!SampleNumber</f>
        <v>7</v>
      </c>
      <c r="E494" s="162" t="str">
        <f ca="1">'IWP07'!ClientID</f>
        <v/>
      </c>
      <c r="F494" s="220"/>
      <c r="G494" s="220"/>
      <c r="H494" s="159" t="str">
        <f ca="1">IF('IWP07'!ContractNumber = 0, "", 'IWP07'!ContractNumber)</f>
        <v/>
      </c>
      <c r="I494" s="159" t="str">
        <f>IF('IWP07'!ContractType = 0, "", 'IWP07'!ContractType)</f>
        <v/>
      </c>
      <c r="J494" s="159" t="str">
        <f>IF('IWP07'!CompletedByLastName = 0, "", 'IWP07'!CompletedByLastName)</f>
        <v/>
      </c>
      <c r="K494" s="159" t="str">
        <f>IF('IWP07'!CompletedByFirstName = 0, "", 'IWP07'!CompletedByFirstName)</f>
        <v/>
      </c>
      <c r="L494" s="108">
        <f>IF('IWP07'!DateCompleted =DATE(1900,1,0),DATE(1900,1,1),'IWP07'!DateCompleted)</f>
        <v>1</v>
      </c>
      <c r="M494" s="159" t="str">
        <f>IF('IWP07'!Std3NotCalc = 0, "", 'IWP07'!Std3NotCalc)</f>
        <v/>
      </c>
      <c r="N494" s="108">
        <f>IF('IWP07'!Std3dot1aDate =DATE(1900,1,0),DATE(1900,1,1),'IWP07'!Std3dot1aDate)</f>
        <v>1</v>
      </c>
      <c r="O494" s="159" t="str">
        <f>IF('IWP07'!Std3dot1a = 0, "", 'IWP07'!Std3dot1a)</f>
        <v/>
      </c>
      <c r="P494" s="108">
        <f>IF('IWP07'!Std3dot1bDate=DATE(1900,1,0), DATE(1900,1,1), 'IWP07'!Std3dot1bDate)</f>
        <v>1</v>
      </c>
      <c r="Q494" s="159" t="str">
        <f>IF('IWP07'!Std3dot1b = 0, "", 'IWP07'!Std3dot1b)</f>
        <v/>
      </c>
      <c r="R494" s="108">
        <f t="shared" si="0"/>
        <v>1</v>
      </c>
      <c r="S494" s="159"/>
      <c r="T494" s="159" t="str">
        <f>IF('IWP07'!Std3dot1 = 0, "", 'IWP07'!Std3dot1)</f>
        <v/>
      </c>
      <c r="U494" s="159" t="str">
        <f>IF('IWP07'!Std3dot2AdditionalTasks = 0, "", 'IWP07'!Std3dot2AdditionalTasks)</f>
        <v/>
      </c>
      <c r="V494" s="159" t="str">
        <f>IF('IWP07'!Std3dot2Month1 = 0, "", 'IWP07'!Std3dot2Month1)</f>
        <v/>
      </c>
      <c r="W494" s="108">
        <f>IF('IWP07'!Std3dot2Month1Date =DATE(1900,1,0),DATE(1900,1,1),'IWP07'!Std3dot2Month1Date)</f>
        <v>1</v>
      </c>
      <c r="X494" s="159" t="str">
        <f>IF('IWP07'!Std3dot2Month2 = 0, "", 'IWP07'!Std3dot2Month2)</f>
        <v/>
      </c>
      <c r="Y494" s="108">
        <f>IF('IWP07'!Std3dot2Month2Date =DATE(1900,1,0),DATE(1900,1,1),'IWP07'!Std3dot2Month2Date)</f>
        <v>1</v>
      </c>
      <c r="Z494" s="159" t="str">
        <f>IF('IWP07'!Std3dot2 = 0, "", 'IWP07'!Std3dot2)</f>
        <v/>
      </c>
      <c r="AA494" s="159" t="str">
        <f>IF('IWP07'!Std3dot3 = 0, "", 'IWP07'!Std3dot3)</f>
        <v/>
      </c>
      <c r="AB494" s="159" t="str">
        <f>IF('IWP07'!Std3dot4 = 0, "", 'IWP07'!Std3dot4)</f>
        <v/>
      </c>
      <c r="AC494" s="159" t="str">
        <f>IF('IWP07'!Std4dot1a = 0, "", 'IWP07'!Std4dot1a)</f>
        <v/>
      </c>
      <c r="AD494" s="159" t="str">
        <f>IF('IWP07'!Std4dot1b = 0, "", 'IWP07'!Std4dot1b)</f>
        <v/>
      </c>
      <c r="AE494" s="159" t="str">
        <f>IF('IWP07'!Std4dot1c = 0, "", 'IWP07'!Std4dot1c)</f>
        <v/>
      </c>
      <c r="AF494" s="159" t="str">
        <f>IF('IWP07'!Std4dot1d = 0, "", 'IWP07'!Std4dot1d)</f>
        <v/>
      </c>
      <c r="AG494" s="159" t="str">
        <f>IF('IWP07'!Std4dot1 = 0, "", 'IWP07'!Std4dot1)</f>
        <v/>
      </c>
      <c r="AH494" s="159" t="str">
        <f>IF('IWP07'!Std5NotCalc = 0, "", 'IWP07'!Std5NotCalc)</f>
        <v/>
      </c>
      <c r="AI494" s="159" t="str">
        <f>IF('IWP07'!Std5dot1 = 0, "", 'IWP07'!Std5dot1)</f>
        <v/>
      </c>
      <c r="AJ494" s="159" t="str">
        <f>IF('IWP07'!Std7dot1NotCalc = 0, "", 'IWP07'!Std7dot1NotCalc)</f>
        <v/>
      </c>
      <c r="AK494" s="116">
        <f>'IWP07'!Std7dot1BalPerCshLog</f>
        <v>0</v>
      </c>
      <c r="AL494" s="116">
        <f>'IWP07'!Std7dot1LessAdj</f>
        <v>0</v>
      </c>
      <c r="AM494" s="116">
        <f>'IWP07'!Std7dot1AdjBal</f>
        <v>0</v>
      </c>
      <c r="AN494" s="116">
        <f>'IWP07'!Std7dot1CshOnHand</f>
        <v>0</v>
      </c>
      <c r="AO494" s="116">
        <f>'IWP07'!Std7dot1PtyCshOvrShrt</f>
        <v>0</v>
      </c>
      <c r="AP494" s="159" t="str">
        <f>IF('IWP07'!Std7dot1OvrShrtCorr = 0, "", 'IWP07'!Std7dot1OvrShrtCorr)</f>
        <v/>
      </c>
      <c r="AQ494" s="159" t="str">
        <f>IF('IWP07'!Std7dot1 = 0, "", 'IWP07'!Std7dot1)</f>
        <v/>
      </c>
      <c r="AR494" s="159" t="str">
        <f>IF('IWP07'!Std9dot1aNotCalc = 0, "", 'IWP07'!Std9dot1aNotCalc)</f>
        <v/>
      </c>
      <c r="AS494" s="159" t="str">
        <f>IF('IWP07'!Std9dot1bNotCalc = 0, "", 'IWP07'!Std9dot1bNotCalc)</f>
        <v/>
      </c>
      <c r="AT494" s="108">
        <f>IF('IWP07'!Std9BalPerBnkStmtDt =DATE(1900,1,0),DATE(1900,1,1),'IWP07'!Std9BalPerBnkStmtDt)</f>
        <v>1</v>
      </c>
      <c r="AU494" s="116">
        <f>'IWP07'!Std9BalPerBnkStmt</f>
        <v>0</v>
      </c>
      <c r="AV494" s="116">
        <f>'IWP07'!Std9TotDepsInTrans</f>
        <v>0</v>
      </c>
      <c r="AW494" s="116">
        <f>'IWP07'!Std9TotOutsChks</f>
        <v>0</v>
      </c>
      <c r="AX494" s="116">
        <f>'IWP07'!Std9AdjBalPerBank</f>
        <v>0</v>
      </c>
      <c r="AY494" s="108">
        <f>IF('IWP07'!Std9TotPtyCshIndvDt =DATE(1900,1,0),DATE(1900,1,1),'IWP07'!Std9TotPtyCshIndvDt)</f>
        <v>1</v>
      </c>
      <c r="AZ494" s="116">
        <f>'IWP07'!Std9TotPtyCshIndv</f>
        <v>0</v>
      </c>
      <c r="BA494" s="116">
        <f>'IWP07'!Std9TotCshBnkAndHnd</f>
        <v>0</v>
      </c>
      <c r="BB494" s="108">
        <f>IF('IWP07'!Std9BalPerBksDt =DATE(1900,1,0),DATE(1900,1,1),'IWP07'!Std9BalPerBksDt)</f>
        <v>1</v>
      </c>
      <c r="BC494" s="116">
        <f>'IWP07'!Std9BalPerBks</f>
        <v>0</v>
      </c>
      <c r="BD494" s="116">
        <f>'IWP07'!Std9UnapplErndInt</f>
        <v>0</v>
      </c>
      <c r="BE494" s="116">
        <f>'IWP07'!Std9UnpstdRcptDsbrsmts</f>
        <v>0</v>
      </c>
      <c r="BF494" s="116">
        <f>'IWP07'!Std9NsfChks</f>
        <v>0</v>
      </c>
      <c r="BG494" s="116">
        <f>'IWP07'!Std9AdjBalPerBks</f>
        <v>0</v>
      </c>
      <c r="BH494" s="116">
        <f>'IWP07'!Std9TrstFndAcctOvrShrt</f>
        <v>0</v>
      </c>
      <c r="BI494" s="159" t="str">
        <f>IF('IWP07'!Std9OvrShrtCorrctd = 0, "", 'IWP07'!Std9OvrShrtCorrctd)</f>
        <v/>
      </c>
      <c r="BJ494" s="159" t="str">
        <f>IF('IWP07'!Std9ShrtUnreimbSvcChg = 0, "", 'IWP07'!Std9ShrtUnreimbSvcChg)</f>
        <v/>
      </c>
      <c r="BK494" s="159" t="str">
        <f>IF('IWP07'!Std9dot1 = 0, "", 'IWP07'!Std9dot1)</f>
        <v/>
      </c>
      <c r="BL494" s="159" t="str">
        <f>IF('IWP07'!Std10dot1NotCalc = 0, "", 'IWP07'!Std10dot1NotCalc)</f>
        <v/>
      </c>
      <c r="BM494" s="352">
        <f>IF('IWP07'!FiscalReviewFirstMonth =DATE(1900,1,0),DATE(1900,1,1),'IWP07'!FiscalReviewFirstMonth)</f>
        <v>1</v>
      </c>
      <c r="BN494" s="116">
        <f>'IWP07'!Std10dot1TotalAmt1</f>
        <v>0</v>
      </c>
      <c r="BO494" s="352">
        <f>IF('IWP07'!FiscalReviewSecondMonth =DATE(1900,1,0),DATE(1900,1,1),'IWP07'!FiscalReviewSecondMonth)</f>
        <v>1</v>
      </c>
      <c r="BP494" s="116">
        <f>'IWP07'!Std10dot1TotalAmt2</f>
        <v>0</v>
      </c>
      <c r="BQ494" s="159" t="str">
        <f>IF('IWP07'!Std10dot1 = 0, "", 'IWP07'!Std10dot1)</f>
        <v/>
      </c>
      <c r="BR494" s="159" t="str">
        <f>IF('IWP07'!Std10dot2NotCalc = 0, "", 'IWP07'!Std10dot2NotCalc)</f>
        <v/>
      </c>
      <c r="BS494" s="352">
        <f>IF('IWP07'!FiscalReviewFirstMonth =DATE(1900,1,0),DATE(1900,1,1),'IWP07'!FiscalReviewFirstMonth)</f>
        <v>1</v>
      </c>
      <c r="BT494" s="159" t="str">
        <f>IF('IWP07'!Std10dot2BankChgs1 = 0, "", 'IWP07'!Std10dot2BankChgs1)</f>
        <v/>
      </c>
      <c r="BU494" s="352">
        <f>IF('IWP07'!FiscalReviewSecondMonth =DATE(1900,1,0),DATE(1900,1,1),'IWP07'!FiscalReviewSecondMonth)</f>
        <v>1</v>
      </c>
      <c r="BV494" s="159" t="str">
        <f>IF('IWP07'!Std10dot2BankChgs2 = 0, "", 'IWP07'!Std10dot2BankChgs2)</f>
        <v/>
      </c>
      <c r="BW494" s="159" t="str">
        <f>IF('IWP07'!Std10dot2 = 0, "", 'IWP07'!Std10dot2)</f>
        <v/>
      </c>
      <c r="BX494" s="159" t="str">
        <f>IF('IWP07'!Std10dot3NotCalc = 0, "", 'IWP07'!Std10dot3NotCalc)</f>
        <v/>
      </c>
      <c r="BY494" s="159" t="str">
        <f>IF('IWP07'!Std10dot3 = 0, "", 'IWP07'!Std10dot3)</f>
        <v/>
      </c>
      <c r="BZ494" s="159" t="str">
        <f>IF('IWP07'!Std10dot4NotCalc = 0, "", 'IWP07'!Std10dot4NotCalc)</f>
        <v/>
      </c>
      <c r="CA494" s="159" t="str">
        <f>IF('IWP07'!Std10dot4 = 0, "", 'IWP07'!Std10dot4)</f>
        <v/>
      </c>
      <c r="CB494" s="159" t="str">
        <f>IF('IWP07'!Std10dot5 = 0, "", 'IWP07'!Std10dot5)</f>
        <v/>
      </c>
      <c r="CC494" s="159" t="str">
        <f>IF('IWP07'!Std10dot6NotCalc = 0, "", 'IWP07'!Std10dot6NotCalc)</f>
        <v/>
      </c>
      <c r="CD494" s="159" t="str">
        <f>IF('IWP07'!Std10dot6a = 0, "", 'IWP07'!Std10dot6a)</f>
        <v/>
      </c>
      <c r="CE494" s="159" t="str">
        <f>IF('IWP07'!Std10dot6b = 0, "", 'IWP07'!Std10dot6b)</f>
        <v/>
      </c>
      <c r="CF494" s="159" t="str">
        <f>IF('IWP07'!Std10dot6c = 0, "", 'IWP07'!Std10dot6c)</f>
        <v/>
      </c>
      <c r="CG494" s="159" t="str">
        <f>IF('IWP07'!Std10dot6 = 0, "", 'IWP07'!Std10dot6)</f>
        <v/>
      </c>
      <c r="CH494" s="159" t="str">
        <f>IF('IWP07'!Std11dot1 = 0, "", 'IWP07'!Std11dot1)</f>
        <v/>
      </c>
      <c r="CI494" s="159" t="str">
        <f>IF('IWP07'!Std11dot2 = 0, "", 'IWP07'!Std11dot2)</f>
        <v/>
      </c>
      <c r="CJ494" s="112" t="str">
        <f>'IWP07'!Std11dot3</f>
        <v>NA</v>
      </c>
      <c r="CK494" s="108">
        <f>IF('IWP07'!Std11dot4DtDeathDschg =DATE(1900,1,0),DATE(1900,1,1),'IWP07'!Std11dot4DtDeathDschg)</f>
        <v>1</v>
      </c>
      <c r="CL494" s="116">
        <f>IF('IWP07'!Std11dot4RmBdAmtDue = "", MINVALDBL, 'IWP07'!Std11dot4RmBdAmtDue)</f>
        <v>-99999.99</v>
      </c>
      <c r="CM494" s="116">
        <f>'IWP07'!Std11dot4RmBdAmtRfnd</f>
        <v>0</v>
      </c>
      <c r="CN494" s="108">
        <f>IF('IWP07'!Std11dot4RmBdRfndDt =DATE(1900,1,0),DATE(1900,1,1),'IWP07'!Std11dot4RmBdRfndDt)</f>
        <v>1</v>
      </c>
      <c r="CO494" s="116">
        <f>'IWP07'!Std11dot4CoPayAmtDue</f>
        <v>0</v>
      </c>
      <c r="CP494" s="116">
        <f>'IWP07'!Std11dot4CoPayAmtRfnd</f>
        <v>0</v>
      </c>
      <c r="CQ494" s="108">
        <f>IF('IWP07'!Std11dot4CoPayRfndDt =DATE(1900,1,0),DATE(1900,1,1),'IWP07'!Std11dot4CoPayRfndDt)</f>
        <v>1</v>
      </c>
      <c r="CR494" s="159" t="str">
        <f>IF('IWP07'!Std11dot4LstName = 0, "", 'IWP07'!Std11dot4LstName)</f>
        <v/>
      </c>
      <c r="CS494" s="159" t="str">
        <f>IF('IWP07'!Std11dot4FrstName = 0, "", 'IWP07'!Std11dot4FrstName)</f>
        <v/>
      </c>
      <c r="CT494" s="159" t="str">
        <f>IF('IWP07'!Std11dot4a = 0, "", 'IWP07'!Std11dot4a)</f>
        <v/>
      </c>
      <c r="CU494" s="159" t="str">
        <f>IF('IWP07'!Std11dot4b = 0, "", 'IWP07'!Std11dot4b)</f>
        <v/>
      </c>
      <c r="CV494" s="159" t="str">
        <f>IF('IWP07'!Std11dot4ci = 0, "", 'IWP07'!Std11dot4ci)</f>
        <v/>
      </c>
      <c r="CW494" s="159" t="str">
        <f>IF('IWP07'!Std11dot4cii = 0, "", 'IWP07'!Std11dot4cii)</f>
        <v/>
      </c>
      <c r="CX494" s="159" t="str">
        <f>IF('IWP07'!Std11dot4 = 0, "", 'IWP07'!Std11dot4)</f>
        <v/>
      </c>
      <c r="CY494" s="108">
        <f>IF('IWP07'!FiscalReviewFirstMonth=DATE(1900,1,0),DATE(1900,1,1),'IWP07'!FiscalReviewFirstMonth)</f>
        <v>1</v>
      </c>
      <c r="CZ494" s="123">
        <f>IF('IWP07'!FiscalReviewSecondMonth=DATE(1900,1,0),DATE(1900,1,1),'IWP07'!FiscalReviewSecondMonth)</f>
        <v>1</v>
      </c>
    </row>
    <row r="495" spans="1:104" ht="15" thickBot="1">
      <c r="A495" s="161" t="s">
        <v>821</v>
      </c>
      <c r="B495" s="110">
        <f>IF('Samples (Print)'!D12=DATE(1900,1,0),DATE(1900,1,1),'Samples (Print)'!D12)</f>
        <v>1</v>
      </c>
      <c r="C495" s="110">
        <f>IF('Samples (Print)'!E12=DATE(1900,1,0),DATE(1900,1,1),'Samples (Print)'!E12)</f>
        <v>1</v>
      </c>
      <c r="D495" s="235">
        <f>'IWP08'!SampleNumber</f>
        <v>8</v>
      </c>
      <c r="E495" s="235" t="str">
        <f ca="1">'IWP08'!ClientID</f>
        <v/>
      </c>
      <c r="F495" s="236"/>
      <c r="G495" s="236"/>
      <c r="H495" s="222" t="str">
        <f ca="1">IF('IWP08'!ContractNumber = 0, "", 'IWP08'!ContractNumber)</f>
        <v/>
      </c>
      <c r="I495" s="222" t="str">
        <f>IF('IWP08'!ContractType = 0, "", 'IWP08'!ContractType)</f>
        <v/>
      </c>
      <c r="J495" s="222" t="str">
        <f>IF('IWP08'!CompletedByLastName = 0, "", 'IWP08'!CompletedByLastName)</f>
        <v/>
      </c>
      <c r="K495" s="222" t="str">
        <f>IF('IWP08'!CompletedByFirstName = 0, "", 'IWP08'!CompletedByFirstName)</f>
        <v/>
      </c>
      <c r="L495" s="172">
        <f>IF('IWP08'!DateCompleted =DATE(1900,1,0),DATE(1900,1,1),'IWP08'!DateCompleted)</f>
        <v>1</v>
      </c>
      <c r="M495" s="222" t="str">
        <f>IF('IWP08'!Std3NotCalc = 0, "", 'IWP08'!Std3NotCalc)</f>
        <v/>
      </c>
      <c r="N495" s="172">
        <f>IF('IWP08'!Std3dot1aDate =DATE(1900,1,0),DATE(1900,1,1),'IWP08'!Std3dot1aDate)</f>
        <v>1</v>
      </c>
      <c r="O495" s="222" t="str">
        <f>IF('IWP08'!Std3dot1a = 0, "", 'IWP08'!Std3dot1a)</f>
        <v/>
      </c>
      <c r="P495" s="172">
        <f>IF('IWP08'!Std3dot1bDate=DATE(1900,1,0), DATE(1900,1,1), 'IWP08'!Std3dot1bDate)</f>
        <v>1</v>
      </c>
      <c r="Q495" s="222" t="str">
        <f>IF('IWP08'!Std3dot1b = 0, "", 'IWP08'!Std3dot1b)</f>
        <v/>
      </c>
      <c r="R495" s="172">
        <f>DATE(1900,1,1)</f>
        <v>1</v>
      </c>
      <c r="S495" s="222"/>
      <c r="T495" s="222" t="str">
        <f>IF('IWP08'!Std3dot1 = 0, "", 'IWP08'!Std3dot1)</f>
        <v/>
      </c>
      <c r="U495" s="222" t="str">
        <f>IF('IWP08'!Std3dot2AdditionalTasks = 0, "", 'IWP08'!Std3dot2AdditionalTasks)</f>
        <v/>
      </c>
      <c r="V495" s="222" t="str">
        <f>IF('IWP08'!Std3dot2Month1 = 0, "", 'IWP08'!Std3dot2Month1)</f>
        <v/>
      </c>
      <c r="W495" s="172">
        <f>IF('IWP08'!Std3dot2Month1Date =DATE(1900,1,0),DATE(1900,1,1),'IWP08'!Std3dot2Month1Date)</f>
        <v>1</v>
      </c>
      <c r="X495" s="222" t="str">
        <f>IF('IWP08'!Std3dot2Month2 = 0, "", 'IWP08'!Std3dot2Month2)</f>
        <v/>
      </c>
      <c r="Y495" s="172">
        <f>IF('IWP08'!Std3dot2Month2Date =DATE(1900,1,0),DATE(1900,1,1),'IWP08'!Std3dot2Month2Date)</f>
        <v>1</v>
      </c>
      <c r="Z495" s="222" t="str">
        <f>IF('IWP08'!Std3dot2 = 0, "", 'IWP08'!Std3dot2)</f>
        <v/>
      </c>
      <c r="AA495" s="222" t="str">
        <f>IF('IWP08'!Std3dot3 = 0, "", 'IWP08'!Std3dot3)</f>
        <v/>
      </c>
      <c r="AB495" s="222" t="str">
        <f>IF('IWP08'!Std3dot4 = 0, "", 'IWP08'!Std3dot4)</f>
        <v/>
      </c>
      <c r="AC495" s="222" t="str">
        <f>IF('IWP08'!Std4dot1a = 0, "", 'IWP08'!Std4dot1a)</f>
        <v/>
      </c>
      <c r="AD495" s="222" t="str">
        <f>IF('IWP08'!Std4dot1b = 0, "", 'IWP08'!Std4dot1b)</f>
        <v/>
      </c>
      <c r="AE495" s="222" t="str">
        <f>IF('IWP08'!Std4dot1c = 0, "", 'IWP08'!Std4dot1c)</f>
        <v/>
      </c>
      <c r="AF495" s="222" t="str">
        <f>IF('IWP08'!Std4dot1d = 0, "", 'IWP08'!Std4dot1d)</f>
        <v/>
      </c>
      <c r="AG495" s="222" t="str">
        <f>IF('IWP08'!Std4dot1 = 0, "", 'IWP08'!Std4dot1)</f>
        <v/>
      </c>
      <c r="AH495" s="222" t="str">
        <f>IF('IWP08'!Std5NotCalc = 0, "", 'IWP08'!Std5NotCalc)</f>
        <v/>
      </c>
      <c r="AI495" s="222" t="str">
        <f>IF('IWP08'!Std5dot1 = 0, "", 'IWP08'!Std5dot1)</f>
        <v/>
      </c>
      <c r="AJ495" s="222" t="str">
        <f>IF('IWP08'!Std7dot1NotCalc = 0, "", 'IWP08'!Std7dot1NotCalc)</f>
        <v/>
      </c>
      <c r="AK495" s="237">
        <f>'IWP08'!Std7dot1BalPerCshLog</f>
        <v>0</v>
      </c>
      <c r="AL495" s="237">
        <f>'IWP08'!Std7dot1LessAdj</f>
        <v>0</v>
      </c>
      <c r="AM495" s="237">
        <f>'IWP08'!Std7dot1AdjBal</f>
        <v>0</v>
      </c>
      <c r="AN495" s="237">
        <f>'IWP08'!Std7dot1CshOnHand</f>
        <v>0</v>
      </c>
      <c r="AO495" s="237">
        <f>'IWP08'!Std7dot1PtyCshOvrShrt</f>
        <v>0</v>
      </c>
      <c r="AP495" s="222" t="str">
        <f>IF('IWP08'!Std7dot1OvrShrtCorr = 0, "", 'IWP08'!Std7dot1OvrShrtCorr)</f>
        <v/>
      </c>
      <c r="AQ495" s="222" t="str">
        <f>IF('IWP08'!Std7dot1 = 0, "", 'IWP08'!Std7dot1)</f>
        <v/>
      </c>
      <c r="AR495" s="222" t="str">
        <f>IF('IWP08'!Std9dot1aNotCalc = 0, "", 'IWP08'!Std9dot1aNotCalc)</f>
        <v/>
      </c>
      <c r="AS495" s="222" t="str">
        <f>IF('IWP08'!Std9dot1bNotCalc = 0, "", 'IWP08'!Std9dot1bNotCalc)</f>
        <v/>
      </c>
      <c r="AT495" s="172">
        <f>IF('IWP08'!Std9BalPerBnkStmtDt =DATE(1900,1,0),DATE(1900,1,1),'IWP08'!Std9BalPerBnkStmtDt)</f>
        <v>1</v>
      </c>
      <c r="AU495" s="237">
        <f>'IWP08'!Std9BalPerBnkStmt</f>
        <v>0</v>
      </c>
      <c r="AV495" s="237">
        <f>'IWP08'!Std9TotDepsInTrans</f>
        <v>0</v>
      </c>
      <c r="AW495" s="237">
        <f>'IWP08'!Std9TotOutsChks</f>
        <v>0</v>
      </c>
      <c r="AX495" s="237">
        <f>'IWP08'!Std9AdjBalPerBank</f>
        <v>0</v>
      </c>
      <c r="AY495" s="172">
        <f>IF('IWP08'!Std9TotPtyCshIndvDt =DATE(1900,1,0),DATE(1900,1,1),'IWP08'!Std9TotPtyCshIndvDt)</f>
        <v>1</v>
      </c>
      <c r="AZ495" s="237">
        <f>'IWP08'!Std9TotPtyCshIndv</f>
        <v>0</v>
      </c>
      <c r="BA495" s="237">
        <f>'IWP08'!Std9TotCshBnkAndHnd</f>
        <v>0</v>
      </c>
      <c r="BB495" s="172">
        <f>IF('IWP08'!Std9BalPerBksDt =DATE(1900,1,0),DATE(1900,1,1),'IWP08'!Std9BalPerBksDt)</f>
        <v>1</v>
      </c>
      <c r="BC495" s="237">
        <f>'IWP08'!Std9BalPerBks</f>
        <v>0</v>
      </c>
      <c r="BD495" s="237">
        <f>'IWP08'!Std9UnapplErndInt</f>
        <v>0</v>
      </c>
      <c r="BE495" s="237">
        <f>'IWP08'!Std9UnpstdRcptDsbrsmts</f>
        <v>0</v>
      </c>
      <c r="BF495" s="237">
        <f>'IWP08'!Std9NsfChks</f>
        <v>0</v>
      </c>
      <c r="BG495" s="237">
        <f>'IWP08'!Std9AdjBalPerBks</f>
        <v>0</v>
      </c>
      <c r="BH495" s="237">
        <f>'IWP08'!Std9TrstFndAcctOvrShrt</f>
        <v>0</v>
      </c>
      <c r="BI495" s="222" t="str">
        <f>IF('IWP08'!Std9OvrShrtCorrctd = 0, "", 'IWP08'!Std9OvrShrtCorrctd)</f>
        <v/>
      </c>
      <c r="BJ495" s="222" t="str">
        <f>IF('IWP08'!Std9ShrtUnreimbSvcChg = 0, "", 'IWP08'!Std9ShrtUnreimbSvcChg)</f>
        <v/>
      </c>
      <c r="BK495" s="222" t="str">
        <f>IF('IWP08'!Std9dot1 = 0, "", 'IWP08'!Std9dot1)</f>
        <v/>
      </c>
      <c r="BL495" s="222" t="str">
        <f>IF('IWP08'!Std10dot1NotCalc = 0, "", 'IWP08'!Std10dot1NotCalc)</f>
        <v/>
      </c>
      <c r="BM495" s="367">
        <f>IF('IWP08'!FiscalReviewFirstMonth =DATE(1900,1,0),DATE(1900,1,1),'IWP08'!FiscalReviewFirstMonth)</f>
        <v>1</v>
      </c>
      <c r="BN495" s="237">
        <f>'IWP08'!Std10dot1TotalAmt1</f>
        <v>0</v>
      </c>
      <c r="BO495" s="367">
        <f>IF('IWP08'!FiscalReviewSecondMonth =DATE(1900,1,0),DATE(1900,1,1),'IWP08'!FiscalReviewSecondMonth)</f>
        <v>1</v>
      </c>
      <c r="BP495" s="237">
        <f>'IWP08'!Std10dot1TotalAmt2</f>
        <v>0</v>
      </c>
      <c r="BQ495" s="222" t="str">
        <f>IF('IWP08'!Std10dot1 = 0, "", 'IWP08'!Std10dot1)</f>
        <v/>
      </c>
      <c r="BR495" s="222" t="str">
        <f>IF('IWP08'!Std10dot2NotCalc = 0, "", 'IWP08'!Std10dot2NotCalc)</f>
        <v/>
      </c>
      <c r="BS495" s="367">
        <f>IF('IWP08'!FiscalReviewFirstMonth =DATE(1900,1,0),DATE(1900,1,1),'IWP08'!FiscalReviewFirstMonth)</f>
        <v>1</v>
      </c>
      <c r="BT495" s="222" t="str">
        <f>IF('IWP08'!Std10dot2BankChgs1 = 0, "", 'IWP08'!Std10dot2BankChgs1)</f>
        <v/>
      </c>
      <c r="BU495" s="367">
        <f>IF('IWP08'!FiscalReviewSecondMonth =DATE(1900,1,0),DATE(1900,1,1),'IWP08'!FiscalReviewSecondMonth)</f>
        <v>1</v>
      </c>
      <c r="BV495" s="222" t="str">
        <f>IF('IWP08'!Std10dot2BankChgs2 = 0, "", 'IWP08'!Std10dot2BankChgs2)</f>
        <v/>
      </c>
      <c r="BW495" s="222" t="str">
        <f>IF('IWP08'!Std10dot2 = 0, "", 'IWP08'!Std10dot2)</f>
        <v/>
      </c>
      <c r="BX495" s="222" t="str">
        <f>IF('IWP08'!Std10dot3NotCalc = 0, "", 'IWP08'!Std10dot3NotCalc)</f>
        <v/>
      </c>
      <c r="BY495" s="222" t="str">
        <f>IF('IWP08'!Std10dot3 = 0, "", 'IWP08'!Std10dot3)</f>
        <v/>
      </c>
      <c r="BZ495" s="222" t="str">
        <f>IF('IWP08'!Std10dot4NotCalc = 0, "", 'IWP08'!Std10dot4NotCalc)</f>
        <v/>
      </c>
      <c r="CA495" s="222" t="str">
        <f>IF('IWP08'!Std10dot4 = 0, "", 'IWP08'!Std10dot4)</f>
        <v/>
      </c>
      <c r="CB495" s="222" t="str">
        <f>IF('IWP08'!Std10dot5 = 0, "", 'IWP08'!Std10dot5)</f>
        <v/>
      </c>
      <c r="CC495" s="222" t="str">
        <f>IF('IWP08'!Std10dot6NotCalc = 0, "", 'IWP08'!Std10dot6NotCalc)</f>
        <v/>
      </c>
      <c r="CD495" s="222" t="str">
        <f>IF('IWP08'!Std10dot6a = 0, "", 'IWP08'!Std10dot6a)</f>
        <v/>
      </c>
      <c r="CE495" s="222" t="str">
        <f>IF('IWP08'!Std10dot6b = 0, "", 'IWP08'!Std10dot6b)</f>
        <v/>
      </c>
      <c r="CF495" s="222" t="str">
        <f>IF('IWP08'!Std10dot6c = 0, "", 'IWP08'!Std10dot6c)</f>
        <v/>
      </c>
      <c r="CG495" s="222" t="str">
        <f>IF('IWP08'!Std10dot6 = 0, "", 'IWP08'!Std10dot6)</f>
        <v/>
      </c>
      <c r="CH495" s="222" t="str">
        <f>IF('IWP08'!Std11dot1 = 0, "", 'IWP08'!Std11dot1)</f>
        <v/>
      </c>
      <c r="CI495" s="222" t="str">
        <f>IF('IWP08'!Std11dot2 = 0, "", 'IWP08'!Std11dot2)</f>
        <v/>
      </c>
      <c r="CJ495" s="238" t="str">
        <f>'IWP08'!Std11dot3</f>
        <v>NA</v>
      </c>
      <c r="CK495" s="172">
        <f>IF('IWP08'!Std11dot4DtDeathDschg =DATE(1900,1,0),DATE(1900,1,1),'IWP08'!Std11dot4DtDeathDschg)</f>
        <v>1</v>
      </c>
      <c r="CL495" s="237">
        <f>IF('IWP08'!Std11dot4RmBdAmtDue = "", MINVALDBL, 'IWP08'!Std11dot4RmBdAmtDue)</f>
        <v>-99999.99</v>
      </c>
      <c r="CM495" s="237">
        <f>'IWP08'!Std11dot4RmBdAmtRfnd</f>
        <v>0</v>
      </c>
      <c r="CN495" s="172">
        <f>IF('IWP08'!Std11dot4RmBdRfndDt =DATE(1900,1,0),DATE(1900,1,1),'IWP08'!Std11dot4RmBdRfndDt)</f>
        <v>1</v>
      </c>
      <c r="CO495" s="237">
        <f>'IWP08'!Std11dot4CoPayAmtDue</f>
        <v>0</v>
      </c>
      <c r="CP495" s="237">
        <f>'IWP08'!Std11dot4CoPayAmtRfnd</f>
        <v>0</v>
      </c>
      <c r="CQ495" s="172">
        <f>IF('IWP08'!Std11dot4CoPayRfndDt =DATE(1900,1,0),DATE(1900,1,1),'IWP08'!Std11dot4CoPayRfndDt)</f>
        <v>1</v>
      </c>
      <c r="CR495" s="222" t="str">
        <f>IF('IWP08'!Std11dot4LstName = 0, "", 'IWP08'!Std11dot4LstName)</f>
        <v/>
      </c>
      <c r="CS495" s="222" t="str">
        <f>IF('IWP08'!Std11dot4FrstName = 0, "", 'IWP08'!Std11dot4FrstName)</f>
        <v/>
      </c>
      <c r="CT495" s="222" t="str">
        <f>IF('IWP08'!Std11dot4a = 0, "", 'IWP08'!Std11dot4a)</f>
        <v/>
      </c>
      <c r="CU495" s="222" t="str">
        <f>IF('IWP08'!Std11dot4b = 0, "", 'IWP08'!Std11dot4b)</f>
        <v/>
      </c>
      <c r="CV495" s="222" t="str">
        <f>IF('IWP08'!Std11dot4ci = 0, "", 'IWP08'!Std11dot4ci)</f>
        <v/>
      </c>
      <c r="CW495" s="222" t="str">
        <f>IF('IWP08'!Std11dot4cii = 0, "", 'IWP08'!Std11dot4cii)</f>
        <v/>
      </c>
      <c r="CX495" s="222" t="str">
        <f>IF('IWP08'!Std11dot4 = 0, "", 'IWP08'!Std11dot4)</f>
        <v/>
      </c>
      <c r="CY495" s="172">
        <f>IF('IWP08'!FiscalReviewFirstMonth=DATE(1900,1,0),DATE(1900,1,1),'IWP08'!FiscalReviewFirstMonth)</f>
        <v>1</v>
      </c>
      <c r="CZ495" s="100">
        <f>IF('IWP08'!FiscalReviewSecondMonth=DATE(1900,1,0),DATE(1900,1,1),'IWP08'!FiscalReviewSecondMonth)</f>
        <v>1</v>
      </c>
    </row>
    <row r="497" spans="1:4" ht="15" thickBot="1">
      <c r="A497" t="s">
        <v>887</v>
      </c>
    </row>
    <row r="498" spans="1:4" s="95" customFormat="1">
      <c r="A498" s="96" t="s">
        <v>725</v>
      </c>
      <c r="B498" s="97" t="s">
        <v>698</v>
      </c>
      <c r="C498" s="97" t="s">
        <v>903</v>
      </c>
      <c r="D498" s="98" t="s">
        <v>151</v>
      </c>
    </row>
    <row r="499" spans="1:4">
      <c r="A499" s="160" t="s">
        <v>747</v>
      </c>
      <c r="B499" s="162">
        <f ca="1">OFFSET('IWP01'!Iwp9dot1OutstdChks, 0, 0, 1, 1)</f>
        <v>0</v>
      </c>
      <c r="C499" s="108">
        <f ca="1">IF(OFFSET('IWP01'!Iwp9dot1OutstdChks, 0, 1, 1, 1) =DATE(1900,1,0),DATE(1900,1,1),OFFSET('IWP01'!Iwp9dot1OutstdChks, 0, 1, 1, 1))</f>
        <v>1</v>
      </c>
      <c r="D499" s="166">
        <f ca="1">OFFSET('IWP01'!Iwp9dot1OutstdChks, 0, 2, 1, 1)</f>
        <v>0</v>
      </c>
    </row>
    <row r="500" spans="1:4">
      <c r="A500" s="160" t="s">
        <v>747</v>
      </c>
      <c r="B500" s="162">
        <f ca="1">OFFSET('IWP01'!Iwp9dot1OutstdChks, 1, 0, 1, 1)</f>
        <v>0</v>
      </c>
      <c r="C500" s="108">
        <f ca="1">IF(OFFSET('IWP01'!Iwp9dot1OutstdChks, 1, 1, 1, 1) =DATE(1900,1,0),DATE(1900,1,1),OFFSET('IWP01'!Iwp9dot1OutstdChks, 1, 1, 1, 1))</f>
        <v>1</v>
      </c>
      <c r="D500" s="166">
        <f ca="1">OFFSET('IWP01'!Iwp9dot1OutstdChks, 1, 2, 1, 1)</f>
        <v>0</v>
      </c>
    </row>
    <row r="501" spans="1:4">
      <c r="A501" s="160" t="s">
        <v>747</v>
      </c>
      <c r="B501" s="162">
        <f ca="1">OFFSET('IWP01'!Iwp9dot1OutstdChks, 2, 0, 1, 1)</f>
        <v>0</v>
      </c>
      <c r="C501" s="108">
        <f ca="1">IF(OFFSET('IWP01'!Iwp9dot1OutstdChks, 2, 1, 1, 1) =DATE(1900,1,0),DATE(1900,1,1),OFFSET('IWP01'!Iwp9dot1OutstdChks, 2, 1, 1, 1))</f>
        <v>1</v>
      </c>
      <c r="D501" s="166">
        <f ca="1">OFFSET('IWP01'!Iwp9dot1OutstdChks, 2, 2, 1, 1)</f>
        <v>0</v>
      </c>
    </row>
    <row r="502" spans="1:4">
      <c r="A502" s="160" t="s">
        <v>747</v>
      </c>
      <c r="B502" s="162">
        <f ca="1">OFFSET('IWP01'!Iwp9dot1OutstdChks, 3, 0, 1, 1)</f>
        <v>0</v>
      </c>
      <c r="C502" s="108">
        <f ca="1">IF(OFFSET('IWP01'!Iwp9dot1OutstdChks, 3, 1, 1, 1) =DATE(1900,1,0),DATE(1900,1,1),OFFSET('IWP01'!Iwp9dot1OutstdChks, 3, 1, 1, 1))</f>
        <v>1</v>
      </c>
      <c r="D502" s="166">
        <f ca="1">OFFSET('IWP01'!Iwp9dot1OutstdChks, 3, 2, 1, 1)</f>
        <v>0</v>
      </c>
    </row>
    <row r="503" spans="1:4">
      <c r="A503" s="160" t="s">
        <v>747</v>
      </c>
      <c r="B503" s="162">
        <f ca="1">OFFSET('IWP01'!Iwp9dot1OutstdChks, 4, 0, 1, 1)</f>
        <v>0</v>
      </c>
      <c r="C503" s="108">
        <f ca="1">IF(OFFSET('IWP01'!Iwp9dot1OutstdChks, 4, 1, 1, 1) =DATE(1900,1,0),DATE(1900,1,1),OFFSET('IWP01'!Iwp9dot1OutstdChks, 4, 1, 1, 1))</f>
        <v>1</v>
      </c>
      <c r="D503" s="166">
        <f ca="1">OFFSET('IWP01'!Iwp9dot1OutstdChks, 4, 2, 1, 1)</f>
        <v>0</v>
      </c>
    </row>
    <row r="504" spans="1:4">
      <c r="A504" s="160" t="s">
        <v>747</v>
      </c>
      <c r="B504" s="162">
        <f ca="1">OFFSET('IWP01'!Iwp9dot1OutstdChks, 5, 0, 1, 1)</f>
        <v>0</v>
      </c>
      <c r="C504" s="108">
        <f ca="1">IF(OFFSET('IWP01'!Iwp9dot1OutstdChks, 5, 1, 1, 1) =DATE(1900,1,0),DATE(1900,1,1),OFFSET('IWP01'!Iwp9dot1OutstdChks, 5, 1, 1, 1))</f>
        <v>1</v>
      </c>
      <c r="D504" s="166">
        <f ca="1">OFFSET('IWP01'!Iwp9dot1OutstdChks, 5, 2, 1, 1)</f>
        <v>0</v>
      </c>
    </row>
    <row r="505" spans="1:4">
      <c r="A505" s="160" t="s">
        <v>747</v>
      </c>
      <c r="B505" s="162">
        <f ca="1">OFFSET('IWP01'!Iwp9dot1OutstdChks, 6, 0, 1, 1)</f>
        <v>0</v>
      </c>
      <c r="C505" s="108">
        <f ca="1">IF(OFFSET('IWP01'!Iwp9dot1OutstdChks, 6, 1, 1, 1) =DATE(1900,1,0),DATE(1900,1,1),OFFSET('IWP01'!Iwp9dot1OutstdChks, 6, 1, 1, 1))</f>
        <v>1</v>
      </c>
      <c r="D505" s="166">
        <f ca="1">OFFSET('IWP01'!Iwp9dot1OutstdChks, 6, 2, 1, 1)</f>
        <v>0</v>
      </c>
    </row>
    <row r="506" spans="1:4">
      <c r="A506" s="160" t="s">
        <v>747</v>
      </c>
      <c r="B506" s="162">
        <f ca="1">OFFSET('IWP01'!Iwp9dot1OutstdChks, 7, 0, 1, 1)</f>
        <v>0</v>
      </c>
      <c r="C506" s="108">
        <f ca="1">IF(OFFSET('IWP01'!Iwp9dot1OutstdChks, 7, 1, 1, 1) =DATE(1900,1,0),DATE(1900,1,1),OFFSET('IWP01'!Iwp9dot1OutstdChks, 7, 1, 1, 1))</f>
        <v>1</v>
      </c>
      <c r="D506" s="166">
        <f ca="1">OFFSET('IWP01'!Iwp9dot1OutstdChks, 7, 2, 1, 1)</f>
        <v>0</v>
      </c>
    </row>
    <row r="507" spans="1:4">
      <c r="A507" s="160" t="s">
        <v>747</v>
      </c>
      <c r="B507" s="162">
        <f ca="1">OFFSET('IWP01'!Iwp9dot1OutstdChks, 8, 0, 1, 1)</f>
        <v>0</v>
      </c>
      <c r="C507" s="108">
        <f ca="1">IF(OFFSET('IWP01'!Iwp9dot1OutstdChks, 8, 1, 1, 1) =DATE(1900,1,0),DATE(1900,1,1),OFFSET('IWP01'!Iwp9dot1OutstdChks, 8, 1, 1, 1))</f>
        <v>1</v>
      </c>
      <c r="D507" s="166">
        <f ca="1">OFFSET('IWP01'!Iwp9dot1OutstdChks, 8, 2, 1, 1)</f>
        <v>0</v>
      </c>
    </row>
    <row r="508" spans="1:4">
      <c r="A508" s="160" t="s">
        <v>747</v>
      </c>
      <c r="B508" s="162">
        <f ca="1">OFFSET('IWP01'!Iwp9dot1OutstdChks, 9, 0, 1, 1)</f>
        <v>0</v>
      </c>
      <c r="C508" s="108">
        <f ca="1">IF(OFFSET('IWP01'!Iwp9dot1OutstdChks, 9, 1, 1, 1) =DATE(1900,1,0),DATE(1900,1,1),OFFSET('IWP01'!Iwp9dot1OutstdChks, 9, 1, 1, 1))</f>
        <v>1</v>
      </c>
      <c r="D508" s="166">
        <f ca="1">OFFSET('IWP01'!Iwp9dot1OutstdChks, 9, 2, 1, 1)</f>
        <v>0</v>
      </c>
    </row>
    <row r="509" spans="1:4">
      <c r="A509" s="160" t="s">
        <v>747</v>
      </c>
      <c r="B509" s="162">
        <f ca="1">OFFSET('IWP01'!Iwp9dot1OutstdChks, 0, 4, 1, 1)</f>
        <v>0</v>
      </c>
      <c r="C509" s="108">
        <f ca="1">IF(OFFSET('IWP01'!Iwp9dot1OutstdChks, 0, 5, 1, 1) =DATE(1900,1,0),DATE(1900,1,1),OFFSET('IWP01'!Iwp9dot1OutstdChks, 0, 5, 1, 1))</f>
        <v>1</v>
      </c>
      <c r="D509" s="166">
        <f ca="1">OFFSET('IWP01'!Iwp9dot1OutstdChks, 0, 6, 1, 1)</f>
        <v>0</v>
      </c>
    </row>
    <row r="510" spans="1:4">
      <c r="A510" s="160" t="s">
        <v>747</v>
      </c>
      <c r="B510" s="162">
        <f ca="1">OFFSET('IWP01'!Iwp9dot1OutstdChks, 1, 4, 1, 1)</f>
        <v>0</v>
      </c>
      <c r="C510" s="108">
        <f ca="1">IF(OFFSET('IWP01'!Iwp9dot1OutstdChks, 1, 5, 1, 1) =DATE(1900,1,0),DATE(1900,1,1),OFFSET('IWP01'!Iwp9dot1OutstdChks, 1, 5, 1, 1))</f>
        <v>1</v>
      </c>
      <c r="D510" s="166">
        <f ca="1">OFFSET('IWP01'!Iwp9dot1OutstdChks, 1, 6, 1, 1)</f>
        <v>0</v>
      </c>
    </row>
    <row r="511" spans="1:4">
      <c r="A511" s="160" t="s">
        <v>747</v>
      </c>
      <c r="B511" s="162">
        <f ca="1">OFFSET('IWP01'!Iwp9dot1OutstdChks, 2, 4, 1, 1)</f>
        <v>0</v>
      </c>
      <c r="C511" s="108">
        <f ca="1">IF(OFFSET('IWP01'!Iwp9dot1OutstdChks, 2, 5, 1, 1) =DATE(1900,1,0),DATE(1900,1,1),OFFSET('IWP01'!Iwp9dot1OutstdChks, 2, 5, 1, 1))</f>
        <v>1</v>
      </c>
      <c r="D511" s="166">
        <f ca="1">OFFSET('IWP01'!Iwp9dot1OutstdChks, 2, 6, 1, 1)</f>
        <v>0</v>
      </c>
    </row>
    <row r="512" spans="1:4">
      <c r="A512" s="160" t="s">
        <v>747</v>
      </c>
      <c r="B512" s="162">
        <f ca="1">OFFSET('IWP01'!Iwp9dot1OutstdChks, 3, 4, 1, 1)</f>
        <v>0</v>
      </c>
      <c r="C512" s="108">
        <f ca="1">IF(OFFSET('IWP01'!Iwp9dot1OutstdChks, 3, 5, 1, 1) =DATE(1900,1,0),DATE(1900,1,1),OFFSET('IWP01'!Iwp9dot1OutstdChks, 3, 5, 1, 1))</f>
        <v>1</v>
      </c>
      <c r="D512" s="166">
        <f ca="1">OFFSET('IWP01'!Iwp9dot1OutstdChks, 3, 6, 1, 1)</f>
        <v>0</v>
      </c>
    </row>
    <row r="513" spans="1:4">
      <c r="A513" s="160" t="s">
        <v>747</v>
      </c>
      <c r="B513" s="162">
        <f ca="1">OFFSET('IWP01'!Iwp9dot1OutstdChks, 4, 4, 1, 1)</f>
        <v>0</v>
      </c>
      <c r="C513" s="108">
        <f ca="1">IF(OFFSET('IWP01'!Iwp9dot1OutstdChks, 4, 5, 1, 1) =DATE(1900,1,0),DATE(1900,1,1),OFFSET('IWP01'!Iwp9dot1OutstdChks, 4, 5, 1, 1))</f>
        <v>1</v>
      </c>
      <c r="D513" s="166">
        <f ca="1">OFFSET('IWP01'!Iwp9dot1OutstdChks, 4, 6, 1, 1)</f>
        <v>0</v>
      </c>
    </row>
    <row r="514" spans="1:4">
      <c r="A514" s="160" t="s">
        <v>747</v>
      </c>
      <c r="B514" s="162">
        <f ca="1">OFFSET('IWP01'!Iwp9dot1OutstdChks, 5, 4, 1, 1)</f>
        <v>0</v>
      </c>
      <c r="C514" s="108">
        <f ca="1">IF(OFFSET('IWP01'!Iwp9dot1OutstdChks, 5, 5, 1, 1) =DATE(1900,1,0),DATE(1900,1,1),OFFSET('IWP01'!Iwp9dot1OutstdChks, 5, 5, 1, 1))</f>
        <v>1</v>
      </c>
      <c r="D514" s="166">
        <f ca="1">OFFSET('IWP01'!Iwp9dot1OutstdChks, 5, 6, 1, 1)</f>
        <v>0</v>
      </c>
    </row>
    <row r="515" spans="1:4">
      <c r="A515" s="160" t="s">
        <v>747</v>
      </c>
      <c r="B515" s="162">
        <f ca="1">OFFSET('IWP01'!Iwp9dot1OutstdChks, 6, 4, 1, 1)</f>
        <v>0</v>
      </c>
      <c r="C515" s="108">
        <f ca="1">IF(OFFSET('IWP01'!Iwp9dot1OutstdChks, 6, 5, 1, 1) =DATE(1900,1,0),DATE(1900,1,1),OFFSET('IWP01'!Iwp9dot1OutstdChks, 6, 5, 1, 1))</f>
        <v>1</v>
      </c>
      <c r="D515" s="166">
        <f ca="1">OFFSET('IWP01'!Iwp9dot1OutstdChks, 6, 6, 1, 1)</f>
        <v>0</v>
      </c>
    </row>
    <row r="516" spans="1:4">
      <c r="A516" s="160" t="s">
        <v>747</v>
      </c>
      <c r="B516" s="162">
        <f ca="1">OFFSET('IWP01'!Iwp9dot1OutstdChks, 7, 4, 1, 1)</f>
        <v>0</v>
      </c>
      <c r="C516" s="108">
        <f ca="1">IF(OFFSET('IWP01'!Iwp9dot1OutstdChks, 7, 5, 1, 1) =DATE(1900,1,0),DATE(1900,1,1),OFFSET('IWP01'!Iwp9dot1OutstdChks, 7, 5, 1, 1))</f>
        <v>1</v>
      </c>
      <c r="D516" s="166">
        <f ca="1">OFFSET('IWP01'!Iwp9dot1OutstdChks, 7, 6, 1, 1)</f>
        <v>0</v>
      </c>
    </row>
    <row r="517" spans="1:4">
      <c r="A517" s="160" t="s">
        <v>747</v>
      </c>
      <c r="B517" s="162">
        <f ca="1">OFFSET('IWP01'!Iwp9dot1OutstdChks, 8, 4, 1, 1)</f>
        <v>0</v>
      </c>
      <c r="C517" s="108">
        <f ca="1">IF(OFFSET('IWP01'!Iwp9dot1OutstdChks, 8, 5, 1, 1) =DATE(1900,1,0),DATE(1900,1,1),OFFSET('IWP01'!Iwp9dot1OutstdChks, 8, 5, 1, 1))</f>
        <v>1</v>
      </c>
      <c r="D517" s="166">
        <f ca="1">OFFSET('IWP01'!Iwp9dot1OutstdChks, 8, 6, 1, 1)</f>
        <v>0</v>
      </c>
    </row>
    <row r="518" spans="1:4">
      <c r="A518" s="160" t="s">
        <v>747</v>
      </c>
      <c r="B518" s="162">
        <f ca="1">OFFSET('IWP01'!Iwp9dot1OutstdChks, 9, 4, 1, 1)</f>
        <v>0</v>
      </c>
      <c r="C518" s="108">
        <f ca="1">IF(OFFSET('IWP01'!Iwp9dot1OutstdChks, 9, 5, 1, 1) =DATE(1900,1,0),DATE(1900,1,1),OFFSET('IWP01'!Iwp9dot1OutstdChks, 9, 5, 1, 1))</f>
        <v>1</v>
      </c>
      <c r="D518" s="166">
        <f ca="1">OFFSET('IWP01'!Iwp9dot1OutstdChks, 9, 6, 1, 1)</f>
        <v>0</v>
      </c>
    </row>
    <row r="519" spans="1:4">
      <c r="A519" s="160" t="s">
        <v>748</v>
      </c>
      <c r="B519" s="162">
        <f ca="1">OFFSET('IWP02'!Iwp9dot1OutstdChks, 0, 0, 1, 1)</f>
        <v>0</v>
      </c>
      <c r="C519" s="108">
        <f ca="1">IF(OFFSET('IWP02'!Iwp9dot1OutstdChks, 0, 1, 1, 1) =DATE(1900,1,0),DATE(1900,1,1),OFFSET('IWP02'!Iwp9dot1OutstdChks, 0, 1, 1, 1))</f>
        <v>1</v>
      </c>
      <c r="D519" s="166">
        <f ca="1">OFFSET('IWP02'!Iwp9dot1OutstdChks, 0, 2, 1, 1)</f>
        <v>0</v>
      </c>
    </row>
    <row r="520" spans="1:4">
      <c r="A520" s="160" t="s">
        <v>748</v>
      </c>
      <c r="B520" s="162">
        <f ca="1">OFFSET('IWP02'!Iwp9dot1OutstdChks, 1, 0, 1, 1)</f>
        <v>0</v>
      </c>
      <c r="C520" s="108">
        <f ca="1">IF(OFFSET('IWP02'!Iwp9dot1OutstdChks, 1, 1, 1, 1) =DATE(1900,1,0),DATE(1900,1,1),OFFSET('IWP02'!Iwp9dot1OutstdChks, 1, 1, 1, 1))</f>
        <v>1</v>
      </c>
      <c r="D520" s="166">
        <f ca="1">OFFSET('IWP02'!Iwp9dot1OutstdChks, 1, 2, 1, 1)</f>
        <v>0</v>
      </c>
    </row>
    <row r="521" spans="1:4">
      <c r="A521" s="160" t="s">
        <v>748</v>
      </c>
      <c r="B521" s="162">
        <f ca="1">OFFSET('IWP02'!Iwp9dot1OutstdChks, 2, 0, 1, 1)</f>
        <v>0</v>
      </c>
      <c r="C521" s="108">
        <f ca="1">IF(OFFSET('IWP02'!Iwp9dot1OutstdChks, 2, 1, 1, 1) =DATE(1900,1,0),DATE(1900,1,1),OFFSET('IWP02'!Iwp9dot1OutstdChks, 2, 1, 1, 1))</f>
        <v>1</v>
      </c>
      <c r="D521" s="166">
        <f ca="1">OFFSET('IWP02'!Iwp9dot1OutstdChks, 2, 2, 1, 1)</f>
        <v>0</v>
      </c>
    </row>
    <row r="522" spans="1:4">
      <c r="A522" s="160" t="s">
        <v>748</v>
      </c>
      <c r="B522" s="162">
        <f ca="1">OFFSET('IWP02'!Iwp9dot1OutstdChks, 3, 0, 1, 1)</f>
        <v>0</v>
      </c>
      <c r="C522" s="108">
        <f ca="1">IF(OFFSET('IWP02'!Iwp9dot1OutstdChks, 3, 1, 1, 1) =DATE(1900,1,0),DATE(1900,1,1),OFFSET('IWP02'!Iwp9dot1OutstdChks, 3, 1, 1, 1))</f>
        <v>1</v>
      </c>
      <c r="D522" s="166">
        <f ca="1">OFFSET('IWP02'!Iwp9dot1OutstdChks, 3, 2, 1, 1)</f>
        <v>0</v>
      </c>
    </row>
    <row r="523" spans="1:4">
      <c r="A523" s="160" t="s">
        <v>748</v>
      </c>
      <c r="B523" s="162">
        <f ca="1">OFFSET('IWP02'!Iwp9dot1OutstdChks, 4, 0, 1, 1)</f>
        <v>0</v>
      </c>
      <c r="C523" s="108">
        <f ca="1">IF(OFFSET('IWP02'!Iwp9dot1OutstdChks, 4, 1, 1, 1) =DATE(1900,1,0),DATE(1900,1,1),OFFSET('IWP02'!Iwp9dot1OutstdChks, 4, 1, 1, 1))</f>
        <v>1</v>
      </c>
      <c r="D523" s="166">
        <f ca="1">OFFSET('IWP02'!Iwp9dot1OutstdChks, 4, 2, 1, 1)</f>
        <v>0</v>
      </c>
    </row>
    <row r="524" spans="1:4">
      <c r="A524" s="160" t="s">
        <v>748</v>
      </c>
      <c r="B524" s="162">
        <f ca="1">OFFSET('IWP02'!Iwp9dot1OutstdChks, 5, 0, 1, 1)</f>
        <v>0</v>
      </c>
      <c r="C524" s="108">
        <f ca="1">IF(OFFSET('IWP02'!Iwp9dot1OutstdChks, 5, 1, 1, 1) =DATE(1900,1,0),DATE(1900,1,1),OFFSET('IWP02'!Iwp9dot1OutstdChks, 5, 1, 1, 1))</f>
        <v>1</v>
      </c>
      <c r="D524" s="166">
        <f ca="1">OFFSET('IWP02'!Iwp9dot1OutstdChks, 5, 2, 1, 1)</f>
        <v>0</v>
      </c>
    </row>
    <row r="525" spans="1:4">
      <c r="A525" s="160" t="s">
        <v>748</v>
      </c>
      <c r="B525" s="162">
        <f ca="1">OFFSET('IWP02'!Iwp9dot1OutstdChks, 6, 0, 1, 1)</f>
        <v>0</v>
      </c>
      <c r="C525" s="108">
        <f ca="1">IF(OFFSET('IWP02'!Iwp9dot1OutstdChks, 6, 1, 1, 1) =DATE(1900,1,0),DATE(1900,1,1),OFFSET('IWP02'!Iwp9dot1OutstdChks, 6, 1, 1, 1))</f>
        <v>1</v>
      </c>
      <c r="D525" s="166">
        <f ca="1">OFFSET('IWP02'!Iwp9dot1OutstdChks, 6, 2, 1, 1)</f>
        <v>0</v>
      </c>
    </row>
    <row r="526" spans="1:4">
      <c r="A526" s="160" t="s">
        <v>748</v>
      </c>
      <c r="B526" s="162">
        <f ca="1">OFFSET('IWP02'!Iwp9dot1OutstdChks, 7, 0, 1, 1)</f>
        <v>0</v>
      </c>
      <c r="C526" s="108">
        <f ca="1">IF(OFFSET('IWP02'!Iwp9dot1OutstdChks, 7, 1, 1, 1) =DATE(1900,1,0),DATE(1900,1,1),OFFSET('IWP02'!Iwp9dot1OutstdChks, 7, 1, 1, 1))</f>
        <v>1</v>
      </c>
      <c r="D526" s="166">
        <f ca="1">OFFSET('IWP02'!Iwp9dot1OutstdChks, 7, 2, 1, 1)</f>
        <v>0</v>
      </c>
    </row>
    <row r="527" spans="1:4">
      <c r="A527" s="160" t="s">
        <v>748</v>
      </c>
      <c r="B527" s="162">
        <f ca="1">OFFSET('IWP02'!Iwp9dot1OutstdChks, 8, 0, 1, 1)</f>
        <v>0</v>
      </c>
      <c r="C527" s="108">
        <f ca="1">IF(OFFSET('IWP02'!Iwp9dot1OutstdChks, 8, 1, 1, 1) =DATE(1900,1,0),DATE(1900,1,1),OFFSET('IWP02'!Iwp9dot1OutstdChks, 8, 1, 1, 1))</f>
        <v>1</v>
      </c>
      <c r="D527" s="166">
        <f ca="1">OFFSET('IWP02'!Iwp9dot1OutstdChks, 8, 2, 1, 1)</f>
        <v>0</v>
      </c>
    </row>
    <row r="528" spans="1:4">
      <c r="A528" s="160" t="s">
        <v>748</v>
      </c>
      <c r="B528" s="162">
        <f ca="1">OFFSET('IWP02'!Iwp9dot1OutstdChks, 9, 0, 1, 1)</f>
        <v>0</v>
      </c>
      <c r="C528" s="108">
        <f ca="1">IF(OFFSET('IWP02'!Iwp9dot1OutstdChks, 9, 1, 1, 1) =DATE(1900,1,0),DATE(1900,1,1),OFFSET('IWP02'!Iwp9dot1OutstdChks, 9, 1, 1, 1))</f>
        <v>1</v>
      </c>
      <c r="D528" s="166">
        <f ca="1">OFFSET('IWP02'!Iwp9dot1OutstdChks, 9, 2, 1, 1)</f>
        <v>0</v>
      </c>
    </row>
    <row r="529" spans="1:4">
      <c r="A529" s="160" t="s">
        <v>748</v>
      </c>
      <c r="B529" s="162">
        <f ca="1">OFFSET('IWP02'!Iwp9dot1OutstdChks, 0, 4, 1, 1)</f>
        <v>0</v>
      </c>
      <c r="C529" s="108">
        <f ca="1">IF(OFFSET('IWP02'!Iwp9dot1OutstdChks, 0, 5, 1, 1) =DATE(1900,1,0),DATE(1900,1,1),OFFSET('IWP02'!Iwp9dot1OutstdChks, 0, 5, 1, 1))</f>
        <v>1</v>
      </c>
      <c r="D529" s="166">
        <f ca="1">OFFSET('IWP02'!Iwp9dot1OutstdChks, 0, 6, 1, 1)</f>
        <v>0</v>
      </c>
    </row>
    <row r="530" spans="1:4">
      <c r="A530" s="160" t="s">
        <v>748</v>
      </c>
      <c r="B530" s="162">
        <f ca="1">OFFSET('IWP02'!Iwp9dot1OutstdChks, 1, 4, 1, 1)</f>
        <v>0</v>
      </c>
      <c r="C530" s="108">
        <f ca="1">IF(OFFSET('IWP02'!Iwp9dot1OutstdChks, 1, 5, 1, 1) =DATE(1900,1,0),DATE(1900,1,1),OFFSET('IWP02'!Iwp9dot1OutstdChks, 1, 5, 1, 1))</f>
        <v>1</v>
      </c>
      <c r="D530" s="166">
        <f ca="1">OFFSET('IWP02'!Iwp9dot1OutstdChks, 1, 6, 1, 1)</f>
        <v>0</v>
      </c>
    </row>
    <row r="531" spans="1:4">
      <c r="A531" s="160" t="s">
        <v>748</v>
      </c>
      <c r="B531" s="162">
        <f ca="1">OFFSET('IWP02'!Iwp9dot1OutstdChks, 2, 4, 1, 1)</f>
        <v>0</v>
      </c>
      <c r="C531" s="108">
        <f ca="1">IF(OFFSET('IWP02'!Iwp9dot1OutstdChks, 2, 5, 1, 1) =DATE(1900,1,0),DATE(1900,1,1),OFFSET('IWP02'!Iwp9dot1OutstdChks, 2, 5, 1, 1))</f>
        <v>1</v>
      </c>
      <c r="D531" s="166">
        <f ca="1">OFFSET('IWP02'!Iwp9dot1OutstdChks, 2, 6, 1, 1)</f>
        <v>0</v>
      </c>
    </row>
    <row r="532" spans="1:4">
      <c r="A532" s="160" t="s">
        <v>748</v>
      </c>
      <c r="B532" s="162">
        <f ca="1">OFFSET('IWP02'!Iwp9dot1OutstdChks, 3, 4, 1, 1)</f>
        <v>0</v>
      </c>
      <c r="C532" s="108">
        <f ca="1">IF(OFFSET('IWP02'!Iwp9dot1OutstdChks, 3, 5, 1, 1) =DATE(1900,1,0),DATE(1900,1,1),OFFSET('IWP02'!Iwp9dot1OutstdChks, 3, 5, 1, 1))</f>
        <v>1</v>
      </c>
      <c r="D532" s="166">
        <f ca="1">OFFSET('IWP02'!Iwp9dot1OutstdChks, 3, 6, 1, 1)</f>
        <v>0</v>
      </c>
    </row>
    <row r="533" spans="1:4">
      <c r="A533" s="160" t="s">
        <v>748</v>
      </c>
      <c r="B533" s="162">
        <f ca="1">OFFSET('IWP02'!Iwp9dot1OutstdChks, 4, 4, 1, 1)</f>
        <v>0</v>
      </c>
      <c r="C533" s="108">
        <f ca="1">IF(OFFSET('IWP02'!Iwp9dot1OutstdChks, 4, 5, 1, 1) =DATE(1900,1,0),DATE(1900,1,1),OFFSET('IWP02'!Iwp9dot1OutstdChks, 4, 5, 1, 1))</f>
        <v>1</v>
      </c>
      <c r="D533" s="166">
        <f ca="1">OFFSET('IWP02'!Iwp9dot1OutstdChks, 4, 6, 1, 1)</f>
        <v>0</v>
      </c>
    </row>
    <row r="534" spans="1:4">
      <c r="A534" s="160" t="s">
        <v>748</v>
      </c>
      <c r="B534" s="162">
        <f ca="1">OFFSET('IWP02'!Iwp9dot1OutstdChks, 5, 4, 1, 1)</f>
        <v>0</v>
      </c>
      <c r="C534" s="108">
        <f ca="1">IF(OFFSET('IWP02'!Iwp9dot1OutstdChks, 5, 5, 1, 1) =DATE(1900,1,0),DATE(1900,1,1),OFFSET('IWP02'!Iwp9dot1OutstdChks, 5, 5, 1, 1))</f>
        <v>1</v>
      </c>
      <c r="D534" s="166">
        <f ca="1">OFFSET('IWP02'!Iwp9dot1OutstdChks, 5, 6, 1, 1)</f>
        <v>0</v>
      </c>
    </row>
    <row r="535" spans="1:4">
      <c r="A535" s="160" t="s">
        <v>748</v>
      </c>
      <c r="B535" s="162">
        <f ca="1">OFFSET('IWP02'!Iwp9dot1OutstdChks, 6, 4, 1, 1)</f>
        <v>0</v>
      </c>
      <c r="C535" s="108">
        <f ca="1">IF(OFFSET('IWP02'!Iwp9dot1OutstdChks, 6, 5, 1, 1) =DATE(1900,1,0),DATE(1900,1,1),OFFSET('IWP02'!Iwp9dot1OutstdChks, 6, 5, 1, 1))</f>
        <v>1</v>
      </c>
      <c r="D535" s="166">
        <f ca="1">OFFSET('IWP02'!Iwp9dot1OutstdChks, 6, 6, 1, 1)</f>
        <v>0</v>
      </c>
    </row>
    <row r="536" spans="1:4">
      <c r="A536" s="160" t="s">
        <v>748</v>
      </c>
      <c r="B536" s="162">
        <f ca="1">OFFSET('IWP02'!Iwp9dot1OutstdChks, 7, 4, 1, 1)</f>
        <v>0</v>
      </c>
      <c r="C536" s="108">
        <f ca="1">IF(OFFSET('IWP02'!Iwp9dot1OutstdChks, 7, 5, 1, 1) =DATE(1900,1,0),DATE(1900,1,1),OFFSET('IWP02'!Iwp9dot1OutstdChks, 7, 5, 1, 1))</f>
        <v>1</v>
      </c>
      <c r="D536" s="166">
        <f ca="1">OFFSET('IWP02'!Iwp9dot1OutstdChks, 7, 6, 1, 1)</f>
        <v>0</v>
      </c>
    </row>
    <row r="537" spans="1:4">
      <c r="A537" s="160" t="s">
        <v>748</v>
      </c>
      <c r="B537" s="162">
        <f ca="1">OFFSET('IWP02'!Iwp9dot1OutstdChks, 8, 4, 1, 1)</f>
        <v>0</v>
      </c>
      <c r="C537" s="108">
        <f ca="1">IF(OFFSET('IWP02'!Iwp9dot1OutstdChks, 8, 5, 1, 1) =DATE(1900,1,0),DATE(1900,1,1),OFFSET('IWP02'!Iwp9dot1OutstdChks, 8, 5, 1, 1))</f>
        <v>1</v>
      </c>
      <c r="D537" s="166">
        <f ca="1">OFFSET('IWP02'!Iwp9dot1OutstdChks, 8, 6, 1, 1)</f>
        <v>0</v>
      </c>
    </row>
    <row r="538" spans="1:4">
      <c r="A538" s="160" t="s">
        <v>748</v>
      </c>
      <c r="B538" s="162">
        <f ca="1">OFFSET('IWP02'!Iwp9dot1OutstdChks, 9, 4, 1, 1)</f>
        <v>0</v>
      </c>
      <c r="C538" s="108">
        <f ca="1">IF(OFFSET('IWP02'!Iwp9dot1OutstdChks, 9, 5, 1, 1) =DATE(1900,1,0),DATE(1900,1,1),OFFSET('IWP02'!Iwp9dot1OutstdChks, 9, 5, 1, 1))</f>
        <v>1</v>
      </c>
      <c r="D538" s="166">
        <f ca="1">OFFSET('IWP02'!Iwp9dot1OutstdChks, 9, 6, 1, 1)</f>
        <v>0</v>
      </c>
    </row>
    <row r="539" spans="1:4">
      <c r="A539" s="160" t="s">
        <v>749</v>
      </c>
      <c r="B539" s="162">
        <f ca="1">OFFSET('IWP03'!Iwp9dot1OutstdChks, 0, 0, 1, 1)</f>
        <v>0</v>
      </c>
      <c r="C539" s="108">
        <f ca="1">IF(OFFSET('IWP03'!Iwp9dot1OutstdChks, 0, 1, 1, 1) =DATE(1900,1,0),DATE(1900,1,1),OFFSET('IWP03'!Iwp9dot1OutstdChks, 0, 1, 1, 1))</f>
        <v>1</v>
      </c>
      <c r="D539" s="166">
        <f ca="1">OFFSET('IWP03'!Iwp9dot1OutstdChks, 0, 2, 1, 1)</f>
        <v>0</v>
      </c>
    </row>
    <row r="540" spans="1:4">
      <c r="A540" s="160" t="s">
        <v>749</v>
      </c>
      <c r="B540" s="162">
        <f ca="1">OFFSET('IWP03'!Iwp9dot1OutstdChks, 1, 0, 1, 1)</f>
        <v>0</v>
      </c>
      <c r="C540" s="108">
        <f ca="1">IF(OFFSET('IWP03'!Iwp9dot1OutstdChks, 1, 1, 1, 1) =DATE(1900,1,0),DATE(1900,1,1),OFFSET('IWP03'!Iwp9dot1OutstdChks, 1, 1, 1, 1))</f>
        <v>1</v>
      </c>
      <c r="D540" s="166">
        <f ca="1">OFFSET('IWP03'!Iwp9dot1OutstdChks, 1, 2, 1, 1)</f>
        <v>0</v>
      </c>
    </row>
    <row r="541" spans="1:4">
      <c r="A541" s="160" t="s">
        <v>749</v>
      </c>
      <c r="B541" s="162">
        <f ca="1">OFFSET('IWP03'!Iwp9dot1OutstdChks, 2, 0, 1, 1)</f>
        <v>0</v>
      </c>
      <c r="C541" s="108">
        <f ca="1">IF(OFFSET('IWP03'!Iwp9dot1OutstdChks, 2, 1, 1, 1) =DATE(1900,1,0),DATE(1900,1,1),OFFSET('IWP03'!Iwp9dot1OutstdChks, 2, 1, 1, 1))</f>
        <v>1</v>
      </c>
      <c r="D541" s="166">
        <f ca="1">OFFSET('IWP03'!Iwp9dot1OutstdChks, 2, 2, 1, 1)</f>
        <v>0</v>
      </c>
    </row>
    <row r="542" spans="1:4">
      <c r="A542" s="160" t="s">
        <v>749</v>
      </c>
      <c r="B542" s="162">
        <f ca="1">OFFSET('IWP03'!Iwp9dot1OutstdChks, 3, 0, 1, 1)</f>
        <v>0</v>
      </c>
      <c r="C542" s="108">
        <f ca="1">IF(OFFSET('IWP03'!Iwp9dot1OutstdChks, 3, 1, 1, 1) =DATE(1900,1,0),DATE(1900,1,1),OFFSET('IWP03'!Iwp9dot1OutstdChks, 3, 1, 1, 1))</f>
        <v>1</v>
      </c>
      <c r="D542" s="166">
        <f ca="1">OFFSET('IWP03'!Iwp9dot1OutstdChks, 3, 2, 1, 1)</f>
        <v>0</v>
      </c>
    </row>
    <row r="543" spans="1:4">
      <c r="A543" s="160" t="s">
        <v>749</v>
      </c>
      <c r="B543" s="162">
        <f ca="1">OFFSET('IWP03'!Iwp9dot1OutstdChks, 4, 0, 1, 1)</f>
        <v>0</v>
      </c>
      <c r="C543" s="108">
        <f ca="1">IF(OFFSET('IWP03'!Iwp9dot1OutstdChks, 4, 1, 1, 1) =DATE(1900,1,0),DATE(1900,1,1),OFFSET('IWP03'!Iwp9dot1OutstdChks, 4, 1, 1, 1))</f>
        <v>1</v>
      </c>
      <c r="D543" s="166">
        <f ca="1">OFFSET('IWP03'!Iwp9dot1OutstdChks, 4, 2, 1, 1)</f>
        <v>0</v>
      </c>
    </row>
    <row r="544" spans="1:4">
      <c r="A544" s="160" t="s">
        <v>749</v>
      </c>
      <c r="B544" s="162">
        <f ca="1">OFFSET('IWP03'!Iwp9dot1OutstdChks, 5, 0, 1, 1)</f>
        <v>0</v>
      </c>
      <c r="C544" s="108">
        <f ca="1">IF(OFFSET('IWP03'!Iwp9dot1OutstdChks, 5, 1, 1, 1) =DATE(1900,1,0),DATE(1900,1,1),OFFSET('IWP03'!Iwp9dot1OutstdChks, 5, 1, 1, 1))</f>
        <v>1</v>
      </c>
      <c r="D544" s="166">
        <f ca="1">OFFSET('IWP03'!Iwp9dot1OutstdChks, 5, 2, 1, 1)</f>
        <v>0</v>
      </c>
    </row>
    <row r="545" spans="1:4">
      <c r="A545" s="160" t="s">
        <v>749</v>
      </c>
      <c r="B545" s="162">
        <f ca="1">OFFSET('IWP03'!Iwp9dot1OutstdChks, 6, 0, 1, 1)</f>
        <v>0</v>
      </c>
      <c r="C545" s="108">
        <f ca="1">IF(OFFSET('IWP03'!Iwp9dot1OutstdChks, 6, 1, 1, 1) =DATE(1900,1,0),DATE(1900,1,1),OFFSET('IWP03'!Iwp9dot1OutstdChks, 6, 1, 1, 1))</f>
        <v>1</v>
      </c>
      <c r="D545" s="166">
        <f ca="1">OFFSET('IWP03'!Iwp9dot1OutstdChks, 6, 2, 1, 1)</f>
        <v>0</v>
      </c>
    </row>
    <row r="546" spans="1:4">
      <c r="A546" s="160" t="s">
        <v>749</v>
      </c>
      <c r="B546" s="162">
        <f ca="1">OFFSET('IWP03'!Iwp9dot1OutstdChks, 7, 0, 1, 1)</f>
        <v>0</v>
      </c>
      <c r="C546" s="108">
        <f ca="1">IF(OFFSET('IWP03'!Iwp9dot1OutstdChks, 7, 1, 1, 1) =DATE(1900,1,0),DATE(1900,1,1),OFFSET('IWP03'!Iwp9dot1OutstdChks, 7, 1, 1, 1))</f>
        <v>1</v>
      </c>
      <c r="D546" s="166">
        <f ca="1">OFFSET('IWP03'!Iwp9dot1OutstdChks, 7, 2, 1, 1)</f>
        <v>0</v>
      </c>
    </row>
    <row r="547" spans="1:4">
      <c r="A547" s="160" t="s">
        <v>749</v>
      </c>
      <c r="B547" s="162">
        <f ca="1">OFFSET('IWP03'!Iwp9dot1OutstdChks, 8, 0, 1, 1)</f>
        <v>0</v>
      </c>
      <c r="C547" s="108">
        <f ca="1">IF(OFFSET('IWP03'!Iwp9dot1OutstdChks, 8, 1, 1, 1) =DATE(1900,1,0),DATE(1900,1,1),OFFSET('IWP03'!Iwp9dot1OutstdChks, 8, 1, 1, 1))</f>
        <v>1</v>
      </c>
      <c r="D547" s="166">
        <f ca="1">OFFSET('IWP03'!Iwp9dot1OutstdChks, 8, 2, 1, 1)</f>
        <v>0</v>
      </c>
    </row>
    <row r="548" spans="1:4">
      <c r="A548" s="160" t="s">
        <v>749</v>
      </c>
      <c r="B548" s="162">
        <f ca="1">OFFSET('IWP03'!Iwp9dot1OutstdChks, 9, 0, 1, 1)</f>
        <v>0</v>
      </c>
      <c r="C548" s="108">
        <f ca="1">IF(OFFSET('IWP03'!Iwp9dot1OutstdChks, 9, 1, 1, 1) =DATE(1900,1,0),DATE(1900,1,1),OFFSET('IWP03'!Iwp9dot1OutstdChks, 9, 1, 1, 1))</f>
        <v>1</v>
      </c>
      <c r="D548" s="166">
        <f ca="1">OFFSET('IWP03'!Iwp9dot1OutstdChks, 9, 2, 1, 1)</f>
        <v>0</v>
      </c>
    </row>
    <row r="549" spans="1:4">
      <c r="A549" s="160" t="s">
        <v>749</v>
      </c>
      <c r="B549" s="162">
        <f ca="1">OFFSET('IWP03'!Iwp9dot1OutstdChks, 0, 4, 1, 1)</f>
        <v>0</v>
      </c>
      <c r="C549" s="108">
        <f ca="1">IF(OFFSET('IWP03'!Iwp9dot1OutstdChks, 0, 5, 1, 1) =DATE(1900,1,0),DATE(1900,1,1),OFFSET('IWP03'!Iwp9dot1OutstdChks, 0, 5, 1, 1))</f>
        <v>1</v>
      </c>
      <c r="D549" s="166">
        <f ca="1">OFFSET('IWP03'!Iwp9dot1OutstdChks, 0, 6, 1, 1)</f>
        <v>0</v>
      </c>
    </row>
    <row r="550" spans="1:4">
      <c r="A550" s="160" t="s">
        <v>749</v>
      </c>
      <c r="B550" s="162">
        <f ca="1">OFFSET('IWP03'!Iwp9dot1OutstdChks, 1, 4, 1, 1)</f>
        <v>0</v>
      </c>
      <c r="C550" s="108">
        <f ca="1">IF(OFFSET('IWP03'!Iwp9dot1OutstdChks, 1, 5, 1, 1) =DATE(1900,1,0),DATE(1900,1,1),OFFSET('IWP03'!Iwp9dot1OutstdChks, 1, 5, 1, 1))</f>
        <v>1</v>
      </c>
      <c r="D550" s="166">
        <f ca="1">OFFSET('IWP03'!Iwp9dot1OutstdChks, 1, 6, 1, 1)</f>
        <v>0</v>
      </c>
    </row>
    <row r="551" spans="1:4">
      <c r="A551" s="160" t="s">
        <v>749</v>
      </c>
      <c r="B551" s="162">
        <f ca="1">OFFSET('IWP03'!Iwp9dot1OutstdChks, 2, 4, 1, 1)</f>
        <v>0</v>
      </c>
      <c r="C551" s="108">
        <f ca="1">IF(OFFSET('IWP03'!Iwp9dot1OutstdChks, 2, 5, 1, 1) =DATE(1900,1,0),DATE(1900,1,1),OFFSET('IWP03'!Iwp9dot1OutstdChks, 2, 5, 1, 1))</f>
        <v>1</v>
      </c>
      <c r="D551" s="166">
        <f ca="1">OFFSET('IWP03'!Iwp9dot1OutstdChks, 2, 6, 1, 1)</f>
        <v>0</v>
      </c>
    </row>
    <row r="552" spans="1:4">
      <c r="A552" s="160" t="s">
        <v>749</v>
      </c>
      <c r="B552" s="162">
        <f ca="1">OFFSET('IWP03'!Iwp9dot1OutstdChks, 3, 4, 1, 1)</f>
        <v>0</v>
      </c>
      <c r="C552" s="108">
        <f ca="1">IF(OFFSET('IWP03'!Iwp9dot1OutstdChks, 3, 5, 1, 1) =DATE(1900,1,0),DATE(1900,1,1),OFFSET('IWP03'!Iwp9dot1OutstdChks, 3, 5, 1, 1))</f>
        <v>1</v>
      </c>
      <c r="D552" s="166">
        <f ca="1">OFFSET('IWP03'!Iwp9dot1OutstdChks, 3, 6, 1, 1)</f>
        <v>0</v>
      </c>
    </row>
    <row r="553" spans="1:4">
      <c r="A553" s="160" t="s">
        <v>749</v>
      </c>
      <c r="B553" s="162">
        <f ca="1">OFFSET('IWP03'!Iwp9dot1OutstdChks, 4, 4, 1, 1)</f>
        <v>0</v>
      </c>
      <c r="C553" s="108">
        <f ca="1">IF(OFFSET('IWP03'!Iwp9dot1OutstdChks, 4, 5, 1, 1) =DATE(1900,1,0),DATE(1900,1,1),OFFSET('IWP03'!Iwp9dot1OutstdChks, 4, 5, 1, 1))</f>
        <v>1</v>
      </c>
      <c r="D553" s="166">
        <f ca="1">OFFSET('IWP03'!Iwp9dot1OutstdChks, 4, 6, 1, 1)</f>
        <v>0</v>
      </c>
    </row>
    <row r="554" spans="1:4">
      <c r="A554" s="160" t="s">
        <v>749</v>
      </c>
      <c r="B554" s="162">
        <f ca="1">OFFSET('IWP03'!Iwp9dot1OutstdChks, 5, 4, 1, 1)</f>
        <v>0</v>
      </c>
      <c r="C554" s="108">
        <f ca="1">IF(OFFSET('IWP03'!Iwp9dot1OutstdChks, 5, 5, 1, 1) =DATE(1900,1,0),DATE(1900,1,1),OFFSET('IWP03'!Iwp9dot1OutstdChks, 5, 5, 1, 1))</f>
        <v>1</v>
      </c>
      <c r="D554" s="166">
        <f ca="1">OFFSET('IWP03'!Iwp9dot1OutstdChks, 5, 6, 1, 1)</f>
        <v>0</v>
      </c>
    </row>
    <row r="555" spans="1:4">
      <c r="A555" s="160" t="s">
        <v>749</v>
      </c>
      <c r="B555" s="162">
        <f ca="1">OFFSET('IWP03'!Iwp9dot1OutstdChks, 6, 4, 1, 1)</f>
        <v>0</v>
      </c>
      <c r="C555" s="108">
        <f ca="1">IF(OFFSET('IWP03'!Iwp9dot1OutstdChks, 6, 5, 1, 1) =DATE(1900,1,0),DATE(1900,1,1),OFFSET('IWP03'!Iwp9dot1OutstdChks, 6, 5, 1, 1))</f>
        <v>1</v>
      </c>
      <c r="D555" s="166">
        <f ca="1">OFFSET('IWP03'!Iwp9dot1OutstdChks, 6, 6, 1, 1)</f>
        <v>0</v>
      </c>
    </row>
    <row r="556" spans="1:4">
      <c r="A556" s="160" t="s">
        <v>749</v>
      </c>
      <c r="B556" s="162">
        <f ca="1">OFFSET('IWP03'!Iwp9dot1OutstdChks, 7, 4, 1, 1)</f>
        <v>0</v>
      </c>
      <c r="C556" s="108">
        <f ca="1">IF(OFFSET('IWP03'!Iwp9dot1OutstdChks, 7, 5, 1, 1) =DATE(1900,1,0),DATE(1900,1,1),OFFSET('IWP03'!Iwp9dot1OutstdChks, 7, 5, 1, 1))</f>
        <v>1</v>
      </c>
      <c r="D556" s="166">
        <f ca="1">OFFSET('IWP03'!Iwp9dot1OutstdChks, 7, 6, 1, 1)</f>
        <v>0</v>
      </c>
    </row>
    <row r="557" spans="1:4">
      <c r="A557" s="160" t="s">
        <v>749</v>
      </c>
      <c r="B557" s="162">
        <f ca="1">OFFSET('IWP03'!Iwp9dot1OutstdChks, 8, 4, 1, 1)</f>
        <v>0</v>
      </c>
      <c r="C557" s="108">
        <f ca="1">IF(OFFSET('IWP03'!Iwp9dot1OutstdChks, 8, 5, 1, 1) =DATE(1900,1,0),DATE(1900,1,1),OFFSET('IWP03'!Iwp9dot1OutstdChks, 8, 5, 1, 1))</f>
        <v>1</v>
      </c>
      <c r="D557" s="166">
        <f ca="1">OFFSET('IWP03'!Iwp9dot1OutstdChks, 8, 6, 1, 1)</f>
        <v>0</v>
      </c>
    </row>
    <row r="558" spans="1:4">
      <c r="A558" s="160" t="s">
        <v>749</v>
      </c>
      <c r="B558" s="162">
        <f ca="1">OFFSET('IWP03'!Iwp9dot1OutstdChks, 9, 4, 1, 1)</f>
        <v>0</v>
      </c>
      <c r="C558" s="108">
        <f ca="1">IF(OFFSET('IWP03'!Iwp9dot1OutstdChks, 9, 5, 1, 1) =DATE(1900,1,0),DATE(1900,1,1),OFFSET('IWP03'!Iwp9dot1OutstdChks, 9, 5, 1, 1))</f>
        <v>1</v>
      </c>
      <c r="D558" s="166">
        <f ca="1">OFFSET('IWP03'!Iwp9dot1OutstdChks, 9, 6, 1, 1)</f>
        <v>0</v>
      </c>
    </row>
    <row r="559" spans="1:4">
      <c r="A559" s="160" t="s">
        <v>817</v>
      </c>
      <c r="B559" s="162">
        <f ca="1">OFFSET('IWP04'!Iwp9dot1OutstdChks, 0, 0, 1, 1)</f>
        <v>0</v>
      </c>
      <c r="C559" s="108">
        <f ca="1">IF(OFFSET('IWP04'!Iwp9dot1OutstdChks, 0, 1, 1, 1) =DATE(1900,1,0),DATE(1900,1,1),OFFSET('IWP04'!Iwp9dot1OutstdChks, 0, 1, 1, 1))</f>
        <v>1</v>
      </c>
      <c r="D559" s="166">
        <f ca="1">OFFSET('IWP04'!Iwp9dot1OutstdChks, 0, 2, 1, 1)</f>
        <v>0</v>
      </c>
    </row>
    <row r="560" spans="1:4">
      <c r="A560" s="160" t="s">
        <v>817</v>
      </c>
      <c r="B560" s="162">
        <f ca="1">OFFSET('IWP04'!Iwp9dot1OutstdChks, 1, 0, 1, 1)</f>
        <v>0</v>
      </c>
      <c r="C560" s="108">
        <f ca="1">IF(OFFSET('IWP04'!Iwp9dot1OutstdChks, 1, 1, 1, 1) =DATE(1900,1,0),DATE(1900,1,1),OFFSET('IWP04'!Iwp9dot1OutstdChks, 1, 1, 1, 1))</f>
        <v>1</v>
      </c>
      <c r="D560" s="166">
        <f ca="1">OFFSET('IWP04'!Iwp9dot1OutstdChks, 1, 2, 1, 1)</f>
        <v>0</v>
      </c>
    </row>
    <row r="561" spans="1:4">
      <c r="A561" s="160" t="s">
        <v>817</v>
      </c>
      <c r="B561" s="162">
        <f ca="1">OFFSET('IWP04'!Iwp9dot1OutstdChks, 2, 0, 1, 1)</f>
        <v>0</v>
      </c>
      <c r="C561" s="108">
        <f ca="1">IF(OFFSET('IWP04'!Iwp9dot1OutstdChks, 2, 1, 1, 1) =DATE(1900,1,0),DATE(1900,1,1),OFFSET('IWP04'!Iwp9dot1OutstdChks, 2, 1, 1, 1))</f>
        <v>1</v>
      </c>
      <c r="D561" s="166">
        <f ca="1">OFFSET('IWP04'!Iwp9dot1OutstdChks, 2, 2, 1, 1)</f>
        <v>0</v>
      </c>
    </row>
    <row r="562" spans="1:4">
      <c r="A562" s="160" t="s">
        <v>817</v>
      </c>
      <c r="B562" s="162">
        <f ca="1">OFFSET('IWP04'!Iwp9dot1OutstdChks, 3, 0, 1, 1)</f>
        <v>0</v>
      </c>
      <c r="C562" s="108">
        <f ca="1">IF(OFFSET('IWP04'!Iwp9dot1OutstdChks, 3, 1, 1, 1) =DATE(1900,1,0),DATE(1900,1,1),OFFSET('IWP04'!Iwp9dot1OutstdChks, 3, 1, 1, 1))</f>
        <v>1</v>
      </c>
      <c r="D562" s="166">
        <f ca="1">OFFSET('IWP04'!Iwp9dot1OutstdChks, 3, 2, 1, 1)</f>
        <v>0</v>
      </c>
    </row>
    <row r="563" spans="1:4">
      <c r="A563" s="160" t="s">
        <v>817</v>
      </c>
      <c r="B563" s="162">
        <f ca="1">OFFSET('IWP04'!Iwp9dot1OutstdChks, 4, 0, 1, 1)</f>
        <v>0</v>
      </c>
      <c r="C563" s="108">
        <f ca="1">IF(OFFSET('IWP04'!Iwp9dot1OutstdChks, 4, 1, 1, 1) =DATE(1900,1,0),DATE(1900,1,1),OFFSET('IWP04'!Iwp9dot1OutstdChks, 4, 1, 1, 1))</f>
        <v>1</v>
      </c>
      <c r="D563" s="166">
        <f ca="1">OFFSET('IWP04'!Iwp9dot1OutstdChks, 4, 2, 1, 1)</f>
        <v>0</v>
      </c>
    </row>
    <row r="564" spans="1:4">
      <c r="A564" s="160" t="s">
        <v>817</v>
      </c>
      <c r="B564" s="162">
        <f ca="1">OFFSET('IWP04'!Iwp9dot1OutstdChks, 5, 0, 1, 1)</f>
        <v>0</v>
      </c>
      <c r="C564" s="108">
        <f ca="1">IF(OFFSET('IWP04'!Iwp9dot1OutstdChks, 5, 1, 1, 1) =DATE(1900,1,0),DATE(1900,1,1),OFFSET('IWP04'!Iwp9dot1OutstdChks, 5, 1, 1, 1))</f>
        <v>1</v>
      </c>
      <c r="D564" s="166">
        <f ca="1">OFFSET('IWP04'!Iwp9dot1OutstdChks, 5, 2, 1, 1)</f>
        <v>0</v>
      </c>
    </row>
    <row r="565" spans="1:4">
      <c r="A565" s="160" t="s">
        <v>817</v>
      </c>
      <c r="B565" s="162">
        <f ca="1">OFFSET('IWP04'!Iwp9dot1OutstdChks, 6, 0, 1, 1)</f>
        <v>0</v>
      </c>
      <c r="C565" s="108">
        <f ca="1">IF(OFFSET('IWP04'!Iwp9dot1OutstdChks, 6, 1, 1, 1) =DATE(1900,1,0),DATE(1900,1,1),OFFSET('IWP04'!Iwp9dot1OutstdChks, 6, 1, 1, 1))</f>
        <v>1</v>
      </c>
      <c r="D565" s="166">
        <f ca="1">OFFSET('IWP04'!Iwp9dot1OutstdChks, 6, 2, 1, 1)</f>
        <v>0</v>
      </c>
    </row>
    <row r="566" spans="1:4">
      <c r="A566" s="160" t="s">
        <v>817</v>
      </c>
      <c r="B566" s="162">
        <f ca="1">OFFSET('IWP04'!Iwp9dot1OutstdChks, 7, 0, 1, 1)</f>
        <v>0</v>
      </c>
      <c r="C566" s="108">
        <f ca="1">IF(OFFSET('IWP04'!Iwp9dot1OutstdChks, 7, 1, 1, 1) =DATE(1900,1,0),DATE(1900,1,1),OFFSET('IWP04'!Iwp9dot1OutstdChks, 7, 1, 1, 1))</f>
        <v>1</v>
      </c>
      <c r="D566" s="166">
        <f ca="1">OFFSET('IWP04'!Iwp9dot1OutstdChks, 7, 2, 1, 1)</f>
        <v>0</v>
      </c>
    </row>
    <row r="567" spans="1:4">
      <c r="A567" s="160" t="s">
        <v>817</v>
      </c>
      <c r="B567" s="162">
        <f ca="1">OFFSET('IWP04'!Iwp9dot1OutstdChks, 8, 0, 1, 1)</f>
        <v>0</v>
      </c>
      <c r="C567" s="108">
        <f ca="1">IF(OFFSET('IWP04'!Iwp9dot1OutstdChks, 8, 1, 1, 1) =DATE(1900,1,0),DATE(1900,1,1),OFFSET('IWP04'!Iwp9dot1OutstdChks, 8, 1, 1, 1))</f>
        <v>1</v>
      </c>
      <c r="D567" s="166">
        <f ca="1">OFFSET('IWP04'!Iwp9dot1OutstdChks, 8, 2, 1, 1)</f>
        <v>0</v>
      </c>
    </row>
    <row r="568" spans="1:4">
      <c r="A568" s="160" t="s">
        <v>817</v>
      </c>
      <c r="B568" s="162">
        <f ca="1">OFFSET('IWP04'!Iwp9dot1OutstdChks, 9, 0, 1, 1)</f>
        <v>0</v>
      </c>
      <c r="C568" s="108">
        <f ca="1">IF(OFFSET('IWP04'!Iwp9dot1OutstdChks, 9, 1, 1, 1) =DATE(1900,1,0),DATE(1900,1,1),OFFSET('IWP04'!Iwp9dot1OutstdChks, 9, 1, 1, 1))</f>
        <v>1</v>
      </c>
      <c r="D568" s="166">
        <f ca="1">OFFSET('IWP04'!Iwp9dot1OutstdChks, 9, 2, 1, 1)</f>
        <v>0</v>
      </c>
    </row>
    <row r="569" spans="1:4">
      <c r="A569" s="160" t="s">
        <v>817</v>
      </c>
      <c r="B569" s="162">
        <f ca="1">OFFSET('IWP04'!Iwp9dot1OutstdChks, 0, 4, 1, 1)</f>
        <v>0</v>
      </c>
      <c r="C569" s="108">
        <f ca="1">IF(OFFSET('IWP04'!Iwp9dot1OutstdChks, 0, 5, 1, 1) =DATE(1900,1,0),DATE(1900,1,1),OFFSET('IWP04'!Iwp9dot1OutstdChks, 0, 5, 1, 1))</f>
        <v>1</v>
      </c>
      <c r="D569" s="166">
        <f ca="1">OFFSET('IWP04'!Iwp9dot1OutstdChks, 0, 6, 1, 1)</f>
        <v>0</v>
      </c>
    </row>
    <row r="570" spans="1:4">
      <c r="A570" s="160" t="s">
        <v>817</v>
      </c>
      <c r="B570" s="162">
        <f ca="1">OFFSET('IWP04'!Iwp9dot1OutstdChks, 1, 4, 1, 1)</f>
        <v>0</v>
      </c>
      <c r="C570" s="108">
        <f ca="1">IF(OFFSET('IWP04'!Iwp9dot1OutstdChks, 1, 5, 1, 1) =DATE(1900,1,0),DATE(1900,1,1),OFFSET('IWP04'!Iwp9dot1OutstdChks, 1, 5, 1, 1))</f>
        <v>1</v>
      </c>
      <c r="D570" s="166">
        <f ca="1">OFFSET('IWP04'!Iwp9dot1OutstdChks, 1, 6, 1, 1)</f>
        <v>0</v>
      </c>
    </row>
    <row r="571" spans="1:4">
      <c r="A571" s="160" t="s">
        <v>817</v>
      </c>
      <c r="B571" s="162">
        <f ca="1">OFFSET('IWP04'!Iwp9dot1OutstdChks, 2, 4, 1, 1)</f>
        <v>0</v>
      </c>
      <c r="C571" s="108">
        <f ca="1">IF(OFFSET('IWP04'!Iwp9dot1OutstdChks, 2, 5, 1, 1) =DATE(1900,1,0),DATE(1900,1,1),OFFSET('IWP04'!Iwp9dot1OutstdChks, 2, 5, 1, 1))</f>
        <v>1</v>
      </c>
      <c r="D571" s="166">
        <f ca="1">OFFSET('IWP04'!Iwp9dot1OutstdChks, 2, 6, 1, 1)</f>
        <v>0</v>
      </c>
    </row>
    <row r="572" spans="1:4">
      <c r="A572" s="160" t="s">
        <v>817</v>
      </c>
      <c r="B572" s="162">
        <f ca="1">OFFSET('IWP04'!Iwp9dot1OutstdChks, 3, 4, 1, 1)</f>
        <v>0</v>
      </c>
      <c r="C572" s="108">
        <f ca="1">IF(OFFSET('IWP04'!Iwp9dot1OutstdChks, 3, 5, 1, 1) =DATE(1900,1,0),DATE(1900,1,1),OFFSET('IWP04'!Iwp9dot1OutstdChks, 3, 5, 1, 1))</f>
        <v>1</v>
      </c>
      <c r="D572" s="166">
        <f ca="1">OFFSET('IWP04'!Iwp9dot1OutstdChks, 3, 6, 1, 1)</f>
        <v>0</v>
      </c>
    </row>
    <row r="573" spans="1:4">
      <c r="A573" s="160" t="s">
        <v>817</v>
      </c>
      <c r="B573" s="162">
        <f ca="1">OFFSET('IWP04'!Iwp9dot1OutstdChks, 4, 4, 1, 1)</f>
        <v>0</v>
      </c>
      <c r="C573" s="108">
        <f ca="1">IF(OFFSET('IWP04'!Iwp9dot1OutstdChks, 4, 5, 1, 1) =DATE(1900,1,0),DATE(1900,1,1),OFFSET('IWP04'!Iwp9dot1OutstdChks, 4, 5, 1, 1))</f>
        <v>1</v>
      </c>
      <c r="D573" s="166">
        <f ca="1">OFFSET('IWP04'!Iwp9dot1OutstdChks, 4, 6, 1, 1)</f>
        <v>0</v>
      </c>
    </row>
    <row r="574" spans="1:4">
      <c r="A574" s="160" t="s">
        <v>817</v>
      </c>
      <c r="B574" s="162">
        <f ca="1">OFFSET('IWP04'!Iwp9dot1OutstdChks, 5, 4, 1, 1)</f>
        <v>0</v>
      </c>
      <c r="C574" s="108">
        <f ca="1">IF(OFFSET('IWP04'!Iwp9dot1OutstdChks, 5, 5, 1, 1) =DATE(1900,1,0),DATE(1900,1,1),OFFSET('IWP04'!Iwp9dot1OutstdChks, 5, 5, 1, 1))</f>
        <v>1</v>
      </c>
      <c r="D574" s="166">
        <f ca="1">OFFSET('IWP04'!Iwp9dot1OutstdChks, 5, 6, 1, 1)</f>
        <v>0</v>
      </c>
    </row>
    <row r="575" spans="1:4">
      <c r="A575" s="160" t="s">
        <v>817</v>
      </c>
      <c r="B575" s="162">
        <f ca="1">OFFSET('IWP04'!Iwp9dot1OutstdChks, 6, 4, 1, 1)</f>
        <v>0</v>
      </c>
      <c r="C575" s="108">
        <f ca="1">IF(OFFSET('IWP04'!Iwp9dot1OutstdChks, 6, 5, 1, 1) =DATE(1900,1,0),DATE(1900,1,1),OFFSET('IWP04'!Iwp9dot1OutstdChks, 6, 5, 1, 1))</f>
        <v>1</v>
      </c>
      <c r="D575" s="166">
        <f ca="1">OFFSET('IWP04'!Iwp9dot1OutstdChks, 6, 6, 1, 1)</f>
        <v>0</v>
      </c>
    </row>
    <row r="576" spans="1:4">
      <c r="A576" s="160" t="s">
        <v>817</v>
      </c>
      <c r="B576" s="162">
        <f ca="1">OFFSET('IWP04'!Iwp9dot1OutstdChks, 7, 4, 1, 1)</f>
        <v>0</v>
      </c>
      <c r="C576" s="108">
        <f ca="1">IF(OFFSET('IWP04'!Iwp9dot1OutstdChks, 7, 5, 1, 1) =DATE(1900,1,0),DATE(1900,1,1),OFFSET('IWP04'!Iwp9dot1OutstdChks, 7, 5, 1, 1))</f>
        <v>1</v>
      </c>
      <c r="D576" s="166">
        <f ca="1">OFFSET('IWP04'!Iwp9dot1OutstdChks, 7, 6, 1, 1)</f>
        <v>0</v>
      </c>
    </row>
    <row r="577" spans="1:4">
      <c r="A577" s="160" t="s">
        <v>817</v>
      </c>
      <c r="B577" s="162">
        <f ca="1">OFFSET('IWP04'!Iwp9dot1OutstdChks, 8, 4, 1, 1)</f>
        <v>0</v>
      </c>
      <c r="C577" s="108">
        <f ca="1">IF(OFFSET('IWP04'!Iwp9dot1OutstdChks, 8, 5, 1, 1) =DATE(1900,1,0),DATE(1900,1,1),OFFSET('IWP04'!Iwp9dot1OutstdChks, 8, 5, 1, 1))</f>
        <v>1</v>
      </c>
      <c r="D577" s="166">
        <f ca="1">OFFSET('IWP04'!Iwp9dot1OutstdChks, 8, 6, 1, 1)</f>
        <v>0</v>
      </c>
    </row>
    <row r="578" spans="1:4">
      <c r="A578" s="160" t="s">
        <v>817</v>
      </c>
      <c r="B578" s="162">
        <f ca="1">OFFSET('IWP04'!Iwp9dot1OutstdChks, 9, 4, 1, 1)</f>
        <v>0</v>
      </c>
      <c r="C578" s="108">
        <f ca="1">IF(OFFSET('IWP04'!Iwp9dot1OutstdChks, 9, 5, 1, 1) =DATE(1900,1,0),DATE(1900,1,1),OFFSET('IWP04'!Iwp9dot1OutstdChks, 9, 5, 1, 1))</f>
        <v>1</v>
      </c>
      <c r="D578" s="166">
        <f ca="1">OFFSET('IWP04'!Iwp9dot1OutstdChks, 9, 6, 1, 1)</f>
        <v>0</v>
      </c>
    </row>
    <row r="579" spans="1:4">
      <c r="A579" s="160" t="s">
        <v>818</v>
      </c>
      <c r="B579" s="162">
        <f ca="1">OFFSET('IWP05'!Iwp9dot1OutstdChks, 0, 0, 1, 1)</f>
        <v>0</v>
      </c>
      <c r="C579" s="108">
        <f ca="1">IF(OFFSET('IWP05'!Iwp9dot1OutstdChks, 0, 1, 1, 1) =DATE(1900,1,0),DATE(1900,1,1),OFFSET('IWP05'!Iwp9dot1OutstdChks, 0, 1, 1, 1))</f>
        <v>1</v>
      </c>
      <c r="D579" s="166">
        <f ca="1">OFFSET('IWP05'!Iwp9dot1OutstdChks, 0, 2, 1, 1)</f>
        <v>0</v>
      </c>
    </row>
    <row r="580" spans="1:4">
      <c r="A580" s="160" t="s">
        <v>818</v>
      </c>
      <c r="B580" s="162">
        <f ca="1">OFFSET('IWP05'!Iwp9dot1OutstdChks, 1, 0, 1, 1)</f>
        <v>0</v>
      </c>
      <c r="C580" s="108">
        <f ca="1">IF(OFFSET('IWP05'!Iwp9dot1OutstdChks, 1, 1, 1, 1) =DATE(1900,1,0),DATE(1900,1,1),OFFSET('IWP05'!Iwp9dot1OutstdChks, 1, 1, 1, 1))</f>
        <v>1</v>
      </c>
      <c r="D580" s="166">
        <f ca="1">OFFSET('IWP05'!Iwp9dot1OutstdChks, 1, 2, 1, 1)</f>
        <v>0</v>
      </c>
    </row>
    <row r="581" spans="1:4">
      <c r="A581" s="160" t="s">
        <v>818</v>
      </c>
      <c r="B581" s="162">
        <f ca="1">OFFSET('IWP05'!Iwp9dot1OutstdChks, 2, 0, 1, 1)</f>
        <v>0</v>
      </c>
      <c r="C581" s="108">
        <f ca="1">IF(OFFSET('IWP05'!Iwp9dot1OutstdChks, 2, 1, 1, 1) =DATE(1900,1,0),DATE(1900,1,1),OFFSET('IWP05'!Iwp9dot1OutstdChks, 2, 1, 1, 1))</f>
        <v>1</v>
      </c>
      <c r="D581" s="166">
        <f ca="1">OFFSET('IWP05'!Iwp9dot1OutstdChks, 2, 2, 1, 1)</f>
        <v>0</v>
      </c>
    </row>
    <row r="582" spans="1:4">
      <c r="A582" s="160" t="s">
        <v>818</v>
      </c>
      <c r="B582" s="162">
        <f ca="1">OFFSET('IWP05'!Iwp9dot1OutstdChks, 3, 0, 1, 1)</f>
        <v>0</v>
      </c>
      <c r="C582" s="108">
        <f ca="1">IF(OFFSET('IWP05'!Iwp9dot1OutstdChks, 3, 1, 1, 1) =DATE(1900,1,0),DATE(1900,1,1),OFFSET('IWP05'!Iwp9dot1OutstdChks, 3, 1, 1, 1))</f>
        <v>1</v>
      </c>
      <c r="D582" s="166">
        <f ca="1">OFFSET('IWP05'!Iwp9dot1OutstdChks, 3, 2, 1, 1)</f>
        <v>0</v>
      </c>
    </row>
    <row r="583" spans="1:4">
      <c r="A583" s="160" t="s">
        <v>818</v>
      </c>
      <c r="B583" s="162">
        <f ca="1">OFFSET('IWP05'!Iwp9dot1OutstdChks, 4, 0, 1, 1)</f>
        <v>0</v>
      </c>
      <c r="C583" s="108">
        <f ca="1">IF(OFFSET('IWP05'!Iwp9dot1OutstdChks, 4, 1, 1, 1) =DATE(1900,1,0),DATE(1900,1,1),OFFSET('IWP05'!Iwp9dot1OutstdChks, 4, 1, 1, 1))</f>
        <v>1</v>
      </c>
      <c r="D583" s="166">
        <f ca="1">OFFSET('IWP05'!Iwp9dot1OutstdChks, 4, 2, 1, 1)</f>
        <v>0</v>
      </c>
    </row>
    <row r="584" spans="1:4">
      <c r="A584" s="160" t="s">
        <v>818</v>
      </c>
      <c r="B584" s="162">
        <f ca="1">OFFSET('IWP05'!Iwp9dot1OutstdChks, 5, 0, 1, 1)</f>
        <v>0</v>
      </c>
      <c r="C584" s="108">
        <f ca="1">IF(OFFSET('IWP05'!Iwp9dot1OutstdChks, 5, 1, 1, 1) =DATE(1900,1,0),DATE(1900,1,1),OFFSET('IWP05'!Iwp9dot1OutstdChks, 5, 1, 1, 1))</f>
        <v>1</v>
      </c>
      <c r="D584" s="166">
        <f ca="1">OFFSET('IWP05'!Iwp9dot1OutstdChks, 5, 2, 1, 1)</f>
        <v>0</v>
      </c>
    </row>
    <row r="585" spans="1:4">
      <c r="A585" s="160" t="s">
        <v>818</v>
      </c>
      <c r="B585" s="162">
        <f ca="1">OFFSET('IWP05'!Iwp9dot1OutstdChks, 6, 0, 1, 1)</f>
        <v>0</v>
      </c>
      <c r="C585" s="108">
        <f ca="1">IF(OFFSET('IWP05'!Iwp9dot1OutstdChks, 6, 1, 1, 1) =DATE(1900,1,0),DATE(1900,1,1),OFFSET('IWP05'!Iwp9dot1OutstdChks, 6, 1, 1, 1))</f>
        <v>1</v>
      </c>
      <c r="D585" s="166">
        <f ca="1">OFFSET('IWP05'!Iwp9dot1OutstdChks, 6, 2, 1, 1)</f>
        <v>0</v>
      </c>
    </row>
    <row r="586" spans="1:4">
      <c r="A586" s="160" t="s">
        <v>818</v>
      </c>
      <c r="B586" s="162">
        <f ca="1">OFFSET('IWP05'!Iwp9dot1OutstdChks, 7, 0, 1, 1)</f>
        <v>0</v>
      </c>
      <c r="C586" s="108">
        <f ca="1">IF(OFFSET('IWP05'!Iwp9dot1OutstdChks, 7, 1, 1, 1) =DATE(1900,1,0),DATE(1900,1,1),OFFSET('IWP05'!Iwp9dot1OutstdChks, 7, 1, 1, 1))</f>
        <v>1</v>
      </c>
      <c r="D586" s="166">
        <f ca="1">OFFSET('IWP05'!Iwp9dot1OutstdChks, 7, 2, 1, 1)</f>
        <v>0</v>
      </c>
    </row>
    <row r="587" spans="1:4">
      <c r="A587" s="160" t="s">
        <v>818</v>
      </c>
      <c r="B587" s="162">
        <f ca="1">OFFSET('IWP05'!Iwp9dot1OutstdChks, 8, 0, 1, 1)</f>
        <v>0</v>
      </c>
      <c r="C587" s="108">
        <f ca="1">IF(OFFSET('IWP05'!Iwp9dot1OutstdChks, 8, 1, 1, 1) =DATE(1900,1,0),DATE(1900,1,1),OFFSET('IWP05'!Iwp9dot1OutstdChks, 8, 1, 1, 1))</f>
        <v>1</v>
      </c>
      <c r="D587" s="166">
        <f ca="1">OFFSET('IWP05'!Iwp9dot1OutstdChks, 8, 2, 1, 1)</f>
        <v>0</v>
      </c>
    </row>
    <row r="588" spans="1:4">
      <c r="A588" s="160" t="s">
        <v>818</v>
      </c>
      <c r="B588" s="162">
        <f ca="1">OFFSET('IWP05'!Iwp9dot1OutstdChks, 9, 0, 1, 1)</f>
        <v>0</v>
      </c>
      <c r="C588" s="108">
        <f ca="1">IF(OFFSET('IWP05'!Iwp9dot1OutstdChks, 9, 1, 1, 1) =DATE(1900,1,0),DATE(1900,1,1),OFFSET('IWP05'!Iwp9dot1OutstdChks, 9, 1, 1, 1))</f>
        <v>1</v>
      </c>
      <c r="D588" s="166">
        <f ca="1">OFFSET('IWP05'!Iwp9dot1OutstdChks, 9, 2, 1, 1)</f>
        <v>0</v>
      </c>
    </row>
    <row r="589" spans="1:4">
      <c r="A589" s="160" t="s">
        <v>818</v>
      </c>
      <c r="B589" s="162">
        <f ca="1">OFFSET('IWP05'!Iwp9dot1OutstdChks, 0, 4, 1, 1)</f>
        <v>0</v>
      </c>
      <c r="C589" s="108">
        <f ca="1">IF(OFFSET('IWP05'!Iwp9dot1OutstdChks, 0, 5, 1, 1) =DATE(1900,1,0),DATE(1900,1,1),OFFSET('IWP05'!Iwp9dot1OutstdChks, 0, 5, 1, 1))</f>
        <v>1</v>
      </c>
      <c r="D589" s="166">
        <f ca="1">OFFSET('IWP05'!Iwp9dot1OutstdChks, 0, 6, 1, 1)</f>
        <v>0</v>
      </c>
    </row>
    <row r="590" spans="1:4">
      <c r="A590" s="160" t="s">
        <v>818</v>
      </c>
      <c r="B590" s="162">
        <f ca="1">OFFSET('IWP05'!Iwp9dot1OutstdChks, 1, 4, 1, 1)</f>
        <v>0</v>
      </c>
      <c r="C590" s="108">
        <f ca="1">IF(OFFSET('IWP05'!Iwp9dot1OutstdChks, 1, 5, 1, 1) =DATE(1900,1,0),DATE(1900,1,1),OFFSET('IWP05'!Iwp9dot1OutstdChks, 1, 5, 1, 1))</f>
        <v>1</v>
      </c>
      <c r="D590" s="166">
        <f ca="1">OFFSET('IWP05'!Iwp9dot1OutstdChks, 1, 6, 1, 1)</f>
        <v>0</v>
      </c>
    </row>
    <row r="591" spans="1:4">
      <c r="A591" s="160" t="s">
        <v>818</v>
      </c>
      <c r="B591" s="162">
        <f ca="1">OFFSET('IWP05'!Iwp9dot1OutstdChks, 2, 4, 1, 1)</f>
        <v>0</v>
      </c>
      <c r="C591" s="108">
        <f ca="1">IF(OFFSET('IWP05'!Iwp9dot1OutstdChks, 2, 5, 1, 1) =DATE(1900,1,0),DATE(1900,1,1),OFFSET('IWP05'!Iwp9dot1OutstdChks, 2, 5, 1, 1))</f>
        <v>1</v>
      </c>
      <c r="D591" s="166">
        <f ca="1">OFFSET('IWP05'!Iwp9dot1OutstdChks, 2, 6, 1, 1)</f>
        <v>0</v>
      </c>
    </row>
    <row r="592" spans="1:4">
      <c r="A592" s="160" t="s">
        <v>818</v>
      </c>
      <c r="B592" s="162">
        <f ca="1">OFFSET('IWP05'!Iwp9dot1OutstdChks, 3, 4, 1, 1)</f>
        <v>0</v>
      </c>
      <c r="C592" s="108">
        <f ca="1">IF(OFFSET('IWP05'!Iwp9dot1OutstdChks, 3, 5, 1, 1) =DATE(1900,1,0),DATE(1900,1,1),OFFSET('IWP05'!Iwp9dot1OutstdChks, 3, 5, 1, 1))</f>
        <v>1</v>
      </c>
      <c r="D592" s="166">
        <f ca="1">OFFSET('IWP05'!Iwp9dot1OutstdChks, 3, 6, 1, 1)</f>
        <v>0</v>
      </c>
    </row>
    <row r="593" spans="1:4">
      <c r="A593" s="160" t="s">
        <v>818</v>
      </c>
      <c r="B593" s="162">
        <f ca="1">OFFSET('IWP05'!Iwp9dot1OutstdChks, 4, 4, 1, 1)</f>
        <v>0</v>
      </c>
      <c r="C593" s="108">
        <f ca="1">IF(OFFSET('IWP05'!Iwp9dot1OutstdChks, 4, 5, 1, 1) =DATE(1900,1,0),DATE(1900,1,1),OFFSET('IWP05'!Iwp9dot1OutstdChks, 4, 5, 1, 1))</f>
        <v>1</v>
      </c>
      <c r="D593" s="166">
        <f ca="1">OFFSET('IWP05'!Iwp9dot1OutstdChks, 4, 6, 1, 1)</f>
        <v>0</v>
      </c>
    </row>
    <row r="594" spans="1:4">
      <c r="A594" s="160" t="s">
        <v>818</v>
      </c>
      <c r="B594" s="162">
        <f ca="1">OFFSET('IWP05'!Iwp9dot1OutstdChks, 5, 4, 1, 1)</f>
        <v>0</v>
      </c>
      <c r="C594" s="108">
        <f ca="1">IF(OFFSET('IWP05'!Iwp9dot1OutstdChks, 5, 5, 1, 1) =DATE(1900,1,0),DATE(1900,1,1),OFFSET('IWP05'!Iwp9dot1OutstdChks, 5, 5, 1, 1))</f>
        <v>1</v>
      </c>
      <c r="D594" s="166">
        <f ca="1">OFFSET('IWP05'!Iwp9dot1OutstdChks, 5, 6, 1, 1)</f>
        <v>0</v>
      </c>
    </row>
    <row r="595" spans="1:4">
      <c r="A595" s="160" t="s">
        <v>818</v>
      </c>
      <c r="B595" s="162">
        <f ca="1">OFFSET('IWP05'!Iwp9dot1OutstdChks, 6, 4, 1, 1)</f>
        <v>0</v>
      </c>
      <c r="C595" s="108">
        <f ca="1">IF(OFFSET('IWP05'!Iwp9dot1OutstdChks, 6, 5, 1, 1) =DATE(1900,1,0),DATE(1900,1,1),OFFSET('IWP05'!Iwp9dot1OutstdChks, 6, 5, 1, 1))</f>
        <v>1</v>
      </c>
      <c r="D595" s="166">
        <f ca="1">OFFSET('IWP05'!Iwp9dot1OutstdChks, 6, 6, 1, 1)</f>
        <v>0</v>
      </c>
    </row>
    <row r="596" spans="1:4">
      <c r="A596" s="160" t="s">
        <v>818</v>
      </c>
      <c r="B596" s="162">
        <f ca="1">OFFSET('IWP05'!Iwp9dot1OutstdChks, 7, 4, 1, 1)</f>
        <v>0</v>
      </c>
      <c r="C596" s="108">
        <f ca="1">IF(OFFSET('IWP05'!Iwp9dot1OutstdChks, 7, 5, 1, 1) =DATE(1900,1,0),DATE(1900,1,1),OFFSET('IWP05'!Iwp9dot1OutstdChks, 7, 5, 1, 1))</f>
        <v>1</v>
      </c>
      <c r="D596" s="166">
        <f ca="1">OFFSET('IWP05'!Iwp9dot1OutstdChks, 7, 6, 1, 1)</f>
        <v>0</v>
      </c>
    </row>
    <row r="597" spans="1:4">
      <c r="A597" s="160" t="s">
        <v>818</v>
      </c>
      <c r="B597" s="162">
        <f ca="1">OFFSET('IWP05'!Iwp9dot1OutstdChks, 8, 4, 1, 1)</f>
        <v>0</v>
      </c>
      <c r="C597" s="108">
        <f ca="1">IF(OFFSET('IWP05'!Iwp9dot1OutstdChks, 8, 5, 1, 1) =DATE(1900,1,0),DATE(1900,1,1),OFFSET('IWP05'!Iwp9dot1OutstdChks, 8, 5, 1, 1))</f>
        <v>1</v>
      </c>
      <c r="D597" s="166">
        <f ca="1">OFFSET('IWP05'!Iwp9dot1OutstdChks, 8, 6, 1, 1)</f>
        <v>0</v>
      </c>
    </row>
    <row r="598" spans="1:4">
      <c r="A598" s="160" t="s">
        <v>818</v>
      </c>
      <c r="B598" s="162">
        <f ca="1">OFFSET('IWP05'!Iwp9dot1OutstdChks, 9, 4, 1, 1)</f>
        <v>0</v>
      </c>
      <c r="C598" s="108">
        <f ca="1">IF(OFFSET('IWP05'!Iwp9dot1OutstdChks, 9, 5, 1, 1) =DATE(1900,1,0),DATE(1900,1,1),OFFSET('IWP05'!Iwp9dot1OutstdChks, 9, 5, 1, 1))</f>
        <v>1</v>
      </c>
      <c r="D598" s="166">
        <f ca="1">OFFSET('IWP05'!Iwp9dot1OutstdChks, 9, 6, 1, 1)</f>
        <v>0</v>
      </c>
    </row>
    <row r="599" spans="1:4">
      <c r="A599" s="160" t="s">
        <v>819</v>
      </c>
      <c r="B599" s="162">
        <f ca="1">OFFSET('IWP06'!Iwp9dot1OutstdChks, 0, 0, 1, 1)</f>
        <v>0</v>
      </c>
      <c r="C599" s="108">
        <f ca="1">IF(OFFSET('IWP06'!Iwp9dot1OutstdChks, 0, 1, 1, 1) =DATE(1900,1,0),DATE(1900,1,1),OFFSET('IWP06'!Iwp9dot1OutstdChks, 0, 1, 1, 1))</f>
        <v>1</v>
      </c>
      <c r="D599" s="166">
        <f ca="1">OFFSET('IWP06'!Iwp9dot1OutstdChks, 0, 2, 1, 1)</f>
        <v>0</v>
      </c>
    </row>
    <row r="600" spans="1:4">
      <c r="A600" s="160" t="s">
        <v>819</v>
      </c>
      <c r="B600" s="162">
        <f ca="1">OFFSET('IWP06'!Iwp9dot1OutstdChks, 1, 0, 1, 1)</f>
        <v>0</v>
      </c>
      <c r="C600" s="108">
        <f ca="1">IF(OFFSET('IWP06'!Iwp9dot1OutstdChks, 1, 1, 1, 1) =DATE(1900,1,0),DATE(1900,1,1),OFFSET('IWP06'!Iwp9dot1OutstdChks, 1, 1, 1, 1))</f>
        <v>1</v>
      </c>
      <c r="D600" s="166">
        <f ca="1">OFFSET('IWP06'!Iwp9dot1OutstdChks, 1, 2, 1, 1)</f>
        <v>0</v>
      </c>
    </row>
    <row r="601" spans="1:4">
      <c r="A601" s="160" t="s">
        <v>819</v>
      </c>
      <c r="B601" s="162">
        <f ca="1">OFFSET('IWP06'!Iwp9dot1OutstdChks, 2, 0, 1, 1)</f>
        <v>0</v>
      </c>
      <c r="C601" s="108">
        <f ca="1">IF(OFFSET('IWP06'!Iwp9dot1OutstdChks, 2, 1, 1, 1) =DATE(1900,1,0),DATE(1900,1,1),OFFSET('IWP06'!Iwp9dot1OutstdChks, 2, 1, 1, 1))</f>
        <v>1</v>
      </c>
      <c r="D601" s="166">
        <f ca="1">OFFSET('IWP06'!Iwp9dot1OutstdChks, 2, 2, 1, 1)</f>
        <v>0</v>
      </c>
    </row>
    <row r="602" spans="1:4">
      <c r="A602" s="160" t="s">
        <v>819</v>
      </c>
      <c r="B602" s="162">
        <f ca="1">OFFSET('IWP06'!Iwp9dot1OutstdChks, 3, 0, 1, 1)</f>
        <v>0</v>
      </c>
      <c r="C602" s="108">
        <f ca="1">IF(OFFSET('IWP06'!Iwp9dot1OutstdChks, 3, 1, 1, 1) =DATE(1900,1,0),DATE(1900,1,1),OFFSET('IWP06'!Iwp9dot1OutstdChks, 3, 1, 1, 1))</f>
        <v>1</v>
      </c>
      <c r="D602" s="166">
        <f ca="1">OFFSET('IWP06'!Iwp9dot1OutstdChks, 3, 2, 1, 1)</f>
        <v>0</v>
      </c>
    </row>
    <row r="603" spans="1:4">
      <c r="A603" s="160" t="s">
        <v>819</v>
      </c>
      <c r="B603" s="162">
        <f ca="1">OFFSET('IWP06'!Iwp9dot1OutstdChks, 4, 0, 1, 1)</f>
        <v>0</v>
      </c>
      <c r="C603" s="108">
        <f ca="1">IF(OFFSET('IWP06'!Iwp9dot1OutstdChks, 4, 1, 1, 1) =DATE(1900,1,0),DATE(1900,1,1),OFFSET('IWP06'!Iwp9dot1OutstdChks, 4, 1, 1, 1))</f>
        <v>1</v>
      </c>
      <c r="D603" s="166">
        <f ca="1">OFFSET('IWP06'!Iwp9dot1OutstdChks, 4, 2, 1, 1)</f>
        <v>0</v>
      </c>
    </row>
    <row r="604" spans="1:4">
      <c r="A604" s="160" t="s">
        <v>819</v>
      </c>
      <c r="B604" s="162">
        <f ca="1">OFFSET('IWP06'!Iwp9dot1OutstdChks, 5, 0, 1, 1)</f>
        <v>0</v>
      </c>
      <c r="C604" s="108">
        <f ca="1">IF(OFFSET('IWP06'!Iwp9dot1OutstdChks, 5, 1, 1, 1) =DATE(1900,1,0),DATE(1900,1,1),OFFSET('IWP06'!Iwp9dot1OutstdChks, 5, 1, 1, 1))</f>
        <v>1</v>
      </c>
      <c r="D604" s="166">
        <f ca="1">OFFSET('IWP06'!Iwp9dot1OutstdChks, 5, 2, 1, 1)</f>
        <v>0</v>
      </c>
    </row>
    <row r="605" spans="1:4">
      <c r="A605" s="160" t="s">
        <v>819</v>
      </c>
      <c r="B605" s="162">
        <f ca="1">OFFSET('IWP06'!Iwp9dot1OutstdChks, 6, 0, 1, 1)</f>
        <v>0</v>
      </c>
      <c r="C605" s="108">
        <f ca="1">IF(OFFSET('IWP06'!Iwp9dot1OutstdChks, 6, 1, 1, 1) =DATE(1900,1,0),DATE(1900,1,1),OFFSET('IWP06'!Iwp9dot1OutstdChks, 6, 1, 1, 1))</f>
        <v>1</v>
      </c>
      <c r="D605" s="166">
        <f ca="1">OFFSET('IWP06'!Iwp9dot1OutstdChks, 6, 2, 1, 1)</f>
        <v>0</v>
      </c>
    </row>
    <row r="606" spans="1:4">
      <c r="A606" s="160" t="s">
        <v>819</v>
      </c>
      <c r="B606" s="162">
        <f ca="1">OFFSET('IWP06'!Iwp9dot1OutstdChks, 7, 0, 1, 1)</f>
        <v>0</v>
      </c>
      <c r="C606" s="108">
        <f ca="1">IF(OFFSET('IWP06'!Iwp9dot1OutstdChks, 7, 1, 1, 1) =DATE(1900,1,0),DATE(1900,1,1),OFFSET('IWP06'!Iwp9dot1OutstdChks, 7, 1, 1, 1))</f>
        <v>1</v>
      </c>
      <c r="D606" s="166">
        <f ca="1">OFFSET('IWP06'!Iwp9dot1OutstdChks, 7, 2, 1, 1)</f>
        <v>0</v>
      </c>
    </row>
    <row r="607" spans="1:4">
      <c r="A607" s="160" t="s">
        <v>819</v>
      </c>
      <c r="B607" s="162">
        <f ca="1">OFFSET('IWP06'!Iwp9dot1OutstdChks, 8, 0, 1, 1)</f>
        <v>0</v>
      </c>
      <c r="C607" s="108">
        <f ca="1">IF(OFFSET('IWP06'!Iwp9dot1OutstdChks, 8, 1, 1, 1) =DATE(1900,1,0),DATE(1900,1,1),OFFSET('IWP06'!Iwp9dot1OutstdChks, 8, 1, 1, 1))</f>
        <v>1</v>
      </c>
      <c r="D607" s="166">
        <f ca="1">OFFSET('IWP06'!Iwp9dot1OutstdChks, 8, 2, 1, 1)</f>
        <v>0</v>
      </c>
    </row>
    <row r="608" spans="1:4">
      <c r="A608" s="160" t="s">
        <v>819</v>
      </c>
      <c r="B608" s="162">
        <f ca="1">OFFSET('IWP06'!Iwp9dot1OutstdChks, 9, 0, 1, 1)</f>
        <v>0</v>
      </c>
      <c r="C608" s="108">
        <f ca="1">IF(OFFSET('IWP06'!Iwp9dot1OutstdChks, 9, 1, 1, 1) =DATE(1900,1,0),DATE(1900,1,1),OFFSET('IWP06'!Iwp9dot1OutstdChks, 9, 1, 1, 1))</f>
        <v>1</v>
      </c>
      <c r="D608" s="166">
        <f ca="1">OFFSET('IWP06'!Iwp9dot1OutstdChks, 9, 2, 1, 1)</f>
        <v>0</v>
      </c>
    </row>
    <row r="609" spans="1:4">
      <c r="A609" s="160" t="s">
        <v>819</v>
      </c>
      <c r="B609" s="162">
        <f ca="1">OFFSET('IWP06'!Iwp9dot1OutstdChks, 0, 4, 1, 1)</f>
        <v>0</v>
      </c>
      <c r="C609" s="108">
        <f ca="1">IF(OFFSET('IWP06'!Iwp9dot1OutstdChks, 0, 5, 1, 1) =DATE(1900,1,0),DATE(1900,1,1),OFFSET('IWP06'!Iwp9dot1OutstdChks, 0, 5, 1, 1))</f>
        <v>1</v>
      </c>
      <c r="D609" s="166">
        <f ca="1">OFFSET('IWP06'!Iwp9dot1OutstdChks, 0, 6, 1, 1)</f>
        <v>0</v>
      </c>
    </row>
    <row r="610" spans="1:4">
      <c r="A610" s="160" t="s">
        <v>819</v>
      </c>
      <c r="B610" s="162">
        <f ca="1">OFFSET('IWP06'!Iwp9dot1OutstdChks, 1, 4, 1, 1)</f>
        <v>0</v>
      </c>
      <c r="C610" s="108">
        <f ca="1">IF(OFFSET('IWP06'!Iwp9dot1OutstdChks, 1, 5, 1, 1) =DATE(1900,1,0),DATE(1900,1,1),OFFSET('IWP06'!Iwp9dot1OutstdChks, 1, 5, 1, 1))</f>
        <v>1</v>
      </c>
      <c r="D610" s="166">
        <f ca="1">OFFSET('IWP06'!Iwp9dot1OutstdChks, 1, 6, 1, 1)</f>
        <v>0</v>
      </c>
    </row>
    <row r="611" spans="1:4">
      <c r="A611" s="160" t="s">
        <v>819</v>
      </c>
      <c r="B611" s="162">
        <f ca="1">OFFSET('IWP06'!Iwp9dot1OutstdChks, 2, 4, 1, 1)</f>
        <v>0</v>
      </c>
      <c r="C611" s="108">
        <f ca="1">IF(OFFSET('IWP06'!Iwp9dot1OutstdChks, 2, 5, 1, 1) =DATE(1900,1,0),DATE(1900,1,1),OFFSET('IWP06'!Iwp9dot1OutstdChks, 2, 5, 1, 1))</f>
        <v>1</v>
      </c>
      <c r="D611" s="166">
        <f ca="1">OFFSET('IWP06'!Iwp9dot1OutstdChks, 2, 6, 1, 1)</f>
        <v>0</v>
      </c>
    </row>
    <row r="612" spans="1:4">
      <c r="A612" s="160" t="s">
        <v>819</v>
      </c>
      <c r="B612" s="162">
        <f ca="1">OFFSET('IWP06'!Iwp9dot1OutstdChks, 3, 4, 1, 1)</f>
        <v>0</v>
      </c>
      <c r="C612" s="108">
        <f ca="1">IF(OFFSET('IWP06'!Iwp9dot1OutstdChks, 3, 5, 1, 1) =DATE(1900,1,0),DATE(1900,1,1),OFFSET('IWP06'!Iwp9dot1OutstdChks, 3, 5, 1, 1))</f>
        <v>1</v>
      </c>
      <c r="D612" s="166">
        <f ca="1">OFFSET('IWP06'!Iwp9dot1OutstdChks, 3, 6, 1, 1)</f>
        <v>0</v>
      </c>
    </row>
    <row r="613" spans="1:4">
      <c r="A613" s="160" t="s">
        <v>819</v>
      </c>
      <c r="B613" s="162">
        <f ca="1">OFFSET('IWP06'!Iwp9dot1OutstdChks, 4, 4, 1, 1)</f>
        <v>0</v>
      </c>
      <c r="C613" s="108">
        <f ca="1">IF(OFFSET('IWP06'!Iwp9dot1OutstdChks, 4, 5, 1, 1) =DATE(1900,1,0),DATE(1900,1,1),OFFSET('IWP06'!Iwp9dot1OutstdChks, 4, 5, 1, 1))</f>
        <v>1</v>
      </c>
      <c r="D613" s="166">
        <f ca="1">OFFSET('IWP06'!Iwp9dot1OutstdChks, 4, 6, 1, 1)</f>
        <v>0</v>
      </c>
    </row>
    <row r="614" spans="1:4">
      <c r="A614" s="160" t="s">
        <v>819</v>
      </c>
      <c r="B614" s="162">
        <f ca="1">OFFSET('IWP06'!Iwp9dot1OutstdChks, 5, 4, 1, 1)</f>
        <v>0</v>
      </c>
      <c r="C614" s="108">
        <f ca="1">IF(OFFSET('IWP06'!Iwp9dot1OutstdChks, 5, 5, 1, 1) =DATE(1900,1,0),DATE(1900,1,1),OFFSET('IWP06'!Iwp9dot1OutstdChks, 5, 5, 1, 1))</f>
        <v>1</v>
      </c>
      <c r="D614" s="166">
        <f ca="1">OFFSET('IWP06'!Iwp9dot1OutstdChks, 5, 6, 1, 1)</f>
        <v>0</v>
      </c>
    </row>
    <row r="615" spans="1:4">
      <c r="A615" s="160" t="s">
        <v>819</v>
      </c>
      <c r="B615" s="162">
        <f ca="1">OFFSET('IWP06'!Iwp9dot1OutstdChks, 6, 4, 1, 1)</f>
        <v>0</v>
      </c>
      <c r="C615" s="108">
        <f ca="1">IF(OFFSET('IWP06'!Iwp9dot1OutstdChks, 6, 5, 1, 1) =DATE(1900,1,0),DATE(1900,1,1),OFFSET('IWP06'!Iwp9dot1OutstdChks, 6, 5, 1, 1))</f>
        <v>1</v>
      </c>
      <c r="D615" s="166">
        <f ca="1">OFFSET('IWP06'!Iwp9dot1OutstdChks, 6, 6, 1, 1)</f>
        <v>0</v>
      </c>
    </row>
    <row r="616" spans="1:4">
      <c r="A616" s="160" t="s">
        <v>819</v>
      </c>
      <c r="B616" s="162">
        <f ca="1">OFFSET('IWP06'!Iwp9dot1OutstdChks, 7, 4, 1, 1)</f>
        <v>0</v>
      </c>
      <c r="C616" s="108">
        <f ca="1">IF(OFFSET('IWP06'!Iwp9dot1OutstdChks, 7, 5, 1, 1) =DATE(1900,1,0),DATE(1900,1,1),OFFSET('IWP06'!Iwp9dot1OutstdChks, 7, 5, 1, 1))</f>
        <v>1</v>
      </c>
      <c r="D616" s="166">
        <f ca="1">OFFSET('IWP06'!Iwp9dot1OutstdChks, 7, 6, 1, 1)</f>
        <v>0</v>
      </c>
    </row>
    <row r="617" spans="1:4">
      <c r="A617" s="160" t="s">
        <v>819</v>
      </c>
      <c r="B617" s="162">
        <f ca="1">OFFSET('IWP06'!Iwp9dot1OutstdChks, 8, 4, 1, 1)</f>
        <v>0</v>
      </c>
      <c r="C617" s="108">
        <f ca="1">IF(OFFSET('IWP06'!Iwp9dot1OutstdChks, 8, 5, 1, 1) =DATE(1900,1,0),DATE(1900,1,1),OFFSET('IWP06'!Iwp9dot1OutstdChks, 8, 5, 1, 1))</f>
        <v>1</v>
      </c>
      <c r="D617" s="166">
        <f ca="1">OFFSET('IWP06'!Iwp9dot1OutstdChks, 8, 6, 1, 1)</f>
        <v>0</v>
      </c>
    </row>
    <row r="618" spans="1:4">
      <c r="A618" s="160" t="s">
        <v>819</v>
      </c>
      <c r="B618" s="162">
        <f ca="1">OFFSET('IWP06'!Iwp9dot1OutstdChks, 9, 4, 1, 1)</f>
        <v>0</v>
      </c>
      <c r="C618" s="108">
        <f ca="1">IF(OFFSET('IWP06'!Iwp9dot1OutstdChks, 9, 5, 1, 1) =DATE(1900,1,0),DATE(1900,1,1),OFFSET('IWP06'!Iwp9dot1OutstdChks, 9, 5, 1, 1))</f>
        <v>1</v>
      </c>
      <c r="D618" s="166">
        <f ca="1">OFFSET('IWP06'!Iwp9dot1OutstdChks, 9, 6, 1, 1)</f>
        <v>0</v>
      </c>
    </row>
    <row r="619" spans="1:4">
      <c r="A619" s="160" t="s">
        <v>820</v>
      </c>
      <c r="B619" s="162">
        <f ca="1">OFFSET('IWP07'!Iwp9dot1OutstdChks, 0, 0, 1, 1)</f>
        <v>0</v>
      </c>
      <c r="C619" s="108">
        <f ca="1">IF(OFFSET('IWP07'!Iwp9dot1OutstdChks, 0, 1, 1, 1) =DATE(1900,1,0),DATE(1900,1,1),OFFSET('IWP07'!Iwp9dot1OutstdChks, 0, 1, 1, 1))</f>
        <v>1</v>
      </c>
      <c r="D619" s="166">
        <f ca="1">OFFSET('IWP07'!Iwp9dot1OutstdChks, 0, 2, 1, 1)</f>
        <v>0</v>
      </c>
    </row>
    <row r="620" spans="1:4">
      <c r="A620" s="160" t="s">
        <v>820</v>
      </c>
      <c r="B620" s="162">
        <f ca="1">OFFSET('IWP07'!Iwp9dot1OutstdChks, 1, 0, 1, 1)</f>
        <v>0</v>
      </c>
      <c r="C620" s="108">
        <f ca="1">IF(OFFSET('IWP07'!Iwp9dot1OutstdChks, 1, 1, 1, 1) =DATE(1900,1,0),DATE(1900,1,1),OFFSET('IWP07'!Iwp9dot1OutstdChks, 1, 1, 1, 1))</f>
        <v>1</v>
      </c>
      <c r="D620" s="166">
        <f ca="1">OFFSET('IWP07'!Iwp9dot1OutstdChks, 1, 2, 1, 1)</f>
        <v>0</v>
      </c>
    </row>
    <row r="621" spans="1:4">
      <c r="A621" s="160" t="s">
        <v>820</v>
      </c>
      <c r="B621" s="162">
        <f ca="1">OFFSET('IWP07'!Iwp9dot1OutstdChks, 2, 0, 1, 1)</f>
        <v>0</v>
      </c>
      <c r="C621" s="108">
        <f ca="1">IF(OFFSET('IWP07'!Iwp9dot1OutstdChks, 2, 1, 1, 1) =DATE(1900,1,0),DATE(1900,1,1),OFFSET('IWP07'!Iwp9dot1OutstdChks, 2, 1, 1, 1))</f>
        <v>1</v>
      </c>
      <c r="D621" s="166">
        <f ca="1">OFFSET('IWP07'!Iwp9dot1OutstdChks, 2, 2, 1, 1)</f>
        <v>0</v>
      </c>
    </row>
    <row r="622" spans="1:4">
      <c r="A622" s="160" t="s">
        <v>820</v>
      </c>
      <c r="B622" s="162">
        <f ca="1">OFFSET('IWP07'!Iwp9dot1OutstdChks, 3, 0, 1, 1)</f>
        <v>0</v>
      </c>
      <c r="C622" s="108">
        <f ca="1">IF(OFFSET('IWP07'!Iwp9dot1OutstdChks, 3, 1, 1, 1) =DATE(1900,1,0),DATE(1900,1,1),OFFSET('IWP07'!Iwp9dot1OutstdChks, 3, 1, 1, 1))</f>
        <v>1</v>
      </c>
      <c r="D622" s="166">
        <f ca="1">OFFSET('IWP07'!Iwp9dot1OutstdChks, 3, 2, 1, 1)</f>
        <v>0</v>
      </c>
    </row>
    <row r="623" spans="1:4">
      <c r="A623" s="160" t="s">
        <v>820</v>
      </c>
      <c r="B623" s="162">
        <f ca="1">OFFSET('IWP07'!Iwp9dot1OutstdChks, 4, 0, 1, 1)</f>
        <v>0</v>
      </c>
      <c r="C623" s="108">
        <f ca="1">IF(OFFSET('IWP07'!Iwp9dot1OutstdChks, 4, 1, 1, 1) =DATE(1900,1,0),DATE(1900,1,1),OFFSET('IWP07'!Iwp9dot1OutstdChks, 4, 1, 1, 1))</f>
        <v>1</v>
      </c>
      <c r="D623" s="166">
        <f ca="1">OFFSET('IWP07'!Iwp9dot1OutstdChks, 4, 2, 1, 1)</f>
        <v>0</v>
      </c>
    </row>
    <row r="624" spans="1:4">
      <c r="A624" s="160" t="s">
        <v>820</v>
      </c>
      <c r="B624" s="162">
        <f ca="1">OFFSET('IWP07'!Iwp9dot1OutstdChks, 5, 0, 1, 1)</f>
        <v>0</v>
      </c>
      <c r="C624" s="108">
        <f ca="1">IF(OFFSET('IWP07'!Iwp9dot1OutstdChks, 5, 1, 1, 1) =DATE(1900,1,0),DATE(1900,1,1),OFFSET('IWP07'!Iwp9dot1OutstdChks, 5, 1, 1, 1))</f>
        <v>1</v>
      </c>
      <c r="D624" s="166">
        <f ca="1">OFFSET('IWP07'!Iwp9dot1OutstdChks, 5, 2, 1, 1)</f>
        <v>0</v>
      </c>
    </row>
    <row r="625" spans="1:4">
      <c r="A625" s="160" t="s">
        <v>820</v>
      </c>
      <c r="B625" s="162">
        <f ca="1">OFFSET('IWP07'!Iwp9dot1OutstdChks, 6, 0, 1, 1)</f>
        <v>0</v>
      </c>
      <c r="C625" s="108">
        <f ca="1">IF(OFFSET('IWP07'!Iwp9dot1OutstdChks, 6, 1, 1, 1) =DATE(1900,1,0),DATE(1900,1,1),OFFSET('IWP07'!Iwp9dot1OutstdChks, 6, 1, 1, 1))</f>
        <v>1</v>
      </c>
      <c r="D625" s="166">
        <f ca="1">OFFSET('IWP07'!Iwp9dot1OutstdChks, 6, 2, 1, 1)</f>
        <v>0</v>
      </c>
    </row>
    <row r="626" spans="1:4">
      <c r="A626" s="160" t="s">
        <v>820</v>
      </c>
      <c r="B626" s="162">
        <f ca="1">OFFSET('IWP07'!Iwp9dot1OutstdChks, 7, 0, 1, 1)</f>
        <v>0</v>
      </c>
      <c r="C626" s="108">
        <f ca="1">IF(OFFSET('IWP07'!Iwp9dot1OutstdChks, 7, 1, 1, 1) =DATE(1900,1,0),DATE(1900,1,1),OFFSET('IWP07'!Iwp9dot1OutstdChks, 7, 1, 1, 1))</f>
        <v>1</v>
      </c>
      <c r="D626" s="166">
        <f ca="1">OFFSET('IWP07'!Iwp9dot1OutstdChks, 7, 2, 1, 1)</f>
        <v>0</v>
      </c>
    </row>
    <row r="627" spans="1:4">
      <c r="A627" s="160" t="s">
        <v>820</v>
      </c>
      <c r="B627" s="162">
        <f ca="1">OFFSET('IWP07'!Iwp9dot1OutstdChks, 8, 0, 1, 1)</f>
        <v>0</v>
      </c>
      <c r="C627" s="108">
        <f ca="1">IF(OFFSET('IWP07'!Iwp9dot1OutstdChks, 8, 1, 1, 1) =DATE(1900,1,0),DATE(1900,1,1),OFFSET('IWP07'!Iwp9dot1OutstdChks, 8, 1, 1, 1))</f>
        <v>1</v>
      </c>
      <c r="D627" s="166">
        <f ca="1">OFFSET('IWP07'!Iwp9dot1OutstdChks, 8, 2, 1, 1)</f>
        <v>0</v>
      </c>
    </row>
    <row r="628" spans="1:4">
      <c r="A628" s="160" t="s">
        <v>820</v>
      </c>
      <c r="B628" s="162">
        <f ca="1">OFFSET('IWP07'!Iwp9dot1OutstdChks, 9, 0, 1, 1)</f>
        <v>0</v>
      </c>
      <c r="C628" s="108">
        <f ca="1">IF(OFFSET('IWP07'!Iwp9dot1OutstdChks, 9, 1, 1, 1) =DATE(1900,1,0),DATE(1900,1,1),OFFSET('IWP07'!Iwp9dot1OutstdChks, 9, 1, 1, 1))</f>
        <v>1</v>
      </c>
      <c r="D628" s="166">
        <f ca="1">OFFSET('IWP07'!Iwp9dot1OutstdChks, 9, 2, 1, 1)</f>
        <v>0</v>
      </c>
    </row>
    <row r="629" spans="1:4">
      <c r="A629" s="160" t="s">
        <v>820</v>
      </c>
      <c r="B629" s="162">
        <f ca="1">OFFSET('IWP07'!Iwp9dot1OutstdChks, 0, 4, 1, 1)</f>
        <v>0</v>
      </c>
      <c r="C629" s="108">
        <f ca="1">IF(OFFSET('IWP07'!Iwp9dot1OutstdChks, 0, 5, 1, 1) =DATE(1900,1,0),DATE(1900,1,1),OFFSET('IWP07'!Iwp9dot1OutstdChks, 0, 5, 1, 1))</f>
        <v>1</v>
      </c>
      <c r="D629" s="166">
        <f ca="1">OFFSET('IWP07'!Iwp9dot1OutstdChks, 0, 6, 1, 1)</f>
        <v>0</v>
      </c>
    </row>
    <row r="630" spans="1:4">
      <c r="A630" s="160" t="s">
        <v>820</v>
      </c>
      <c r="B630" s="162">
        <f ca="1">OFFSET('IWP07'!Iwp9dot1OutstdChks, 1, 4, 1, 1)</f>
        <v>0</v>
      </c>
      <c r="C630" s="108">
        <f ca="1">IF(OFFSET('IWP07'!Iwp9dot1OutstdChks, 1, 5, 1, 1) =DATE(1900,1,0),DATE(1900,1,1),OFFSET('IWP07'!Iwp9dot1OutstdChks, 1, 5, 1, 1))</f>
        <v>1</v>
      </c>
      <c r="D630" s="166">
        <f ca="1">OFFSET('IWP07'!Iwp9dot1OutstdChks, 1, 6, 1, 1)</f>
        <v>0</v>
      </c>
    </row>
    <row r="631" spans="1:4">
      <c r="A631" s="160" t="s">
        <v>820</v>
      </c>
      <c r="B631" s="162">
        <f ca="1">OFFSET('IWP07'!Iwp9dot1OutstdChks, 2, 4, 1, 1)</f>
        <v>0</v>
      </c>
      <c r="C631" s="108">
        <f ca="1">IF(OFFSET('IWP07'!Iwp9dot1OutstdChks, 2, 5, 1, 1) =DATE(1900,1,0),DATE(1900,1,1),OFFSET('IWP07'!Iwp9dot1OutstdChks, 2, 5, 1, 1))</f>
        <v>1</v>
      </c>
      <c r="D631" s="166">
        <f ca="1">OFFSET('IWP07'!Iwp9dot1OutstdChks, 2, 6, 1, 1)</f>
        <v>0</v>
      </c>
    </row>
    <row r="632" spans="1:4">
      <c r="A632" s="160" t="s">
        <v>820</v>
      </c>
      <c r="B632" s="162">
        <f ca="1">OFFSET('IWP07'!Iwp9dot1OutstdChks, 3, 4, 1, 1)</f>
        <v>0</v>
      </c>
      <c r="C632" s="108">
        <f ca="1">IF(OFFSET('IWP07'!Iwp9dot1OutstdChks, 3, 5, 1, 1) =DATE(1900,1,0),DATE(1900,1,1),OFFSET('IWP07'!Iwp9dot1OutstdChks, 3, 5, 1, 1))</f>
        <v>1</v>
      </c>
      <c r="D632" s="166">
        <f ca="1">OFFSET('IWP07'!Iwp9dot1OutstdChks, 3, 6, 1, 1)</f>
        <v>0</v>
      </c>
    </row>
    <row r="633" spans="1:4">
      <c r="A633" s="160" t="s">
        <v>820</v>
      </c>
      <c r="B633" s="162">
        <f ca="1">OFFSET('IWP07'!Iwp9dot1OutstdChks, 4, 4, 1, 1)</f>
        <v>0</v>
      </c>
      <c r="C633" s="108">
        <f ca="1">IF(OFFSET('IWP07'!Iwp9dot1OutstdChks, 4, 5, 1, 1) =DATE(1900,1,0),DATE(1900,1,1),OFFSET('IWP07'!Iwp9dot1OutstdChks, 4, 5, 1, 1))</f>
        <v>1</v>
      </c>
      <c r="D633" s="166">
        <f ca="1">OFFSET('IWP07'!Iwp9dot1OutstdChks, 4, 6, 1, 1)</f>
        <v>0</v>
      </c>
    </row>
    <row r="634" spans="1:4">
      <c r="A634" s="160" t="s">
        <v>820</v>
      </c>
      <c r="B634" s="162">
        <f ca="1">OFFSET('IWP07'!Iwp9dot1OutstdChks, 5, 4, 1, 1)</f>
        <v>0</v>
      </c>
      <c r="C634" s="108">
        <f ca="1">IF(OFFSET('IWP07'!Iwp9dot1OutstdChks, 5, 5, 1, 1) =DATE(1900,1,0),DATE(1900,1,1),OFFSET('IWP07'!Iwp9dot1OutstdChks, 5, 5, 1, 1))</f>
        <v>1</v>
      </c>
      <c r="D634" s="166">
        <f ca="1">OFFSET('IWP07'!Iwp9dot1OutstdChks, 5, 6, 1, 1)</f>
        <v>0</v>
      </c>
    </row>
    <row r="635" spans="1:4">
      <c r="A635" s="160" t="s">
        <v>820</v>
      </c>
      <c r="B635" s="162">
        <f ca="1">OFFSET('IWP07'!Iwp9dot1OutstdChks, 6, 4, 1, 1)</f>
        <v>0</v>
      </c>
      <c r="C635" s="108">
        <f ca="1">IF(OFFSET('IWP07'!Iwp9dot1OutstdChks, 6, 5, 1, 1) =DATE(1900,1,0),DATE(1900,1,1),OFFSET('IWP07'!Iwp9dot1OutstdChks, 6, 5, 1, 1))</f>
        <v>1</v>
      </c>
      <c r="D635" s="166">
        <f ca="1">OFFSET('IWP07'!Iwp9dot1OutstdChks, 6, 6, 1, 1)</f>
        <v>0</v>
      </c>
    </row>
    <row r="636" spans="1:4">
      <c r="A636" s="160" t="s">
        <v>820</v>
      </c>
      <c r="B636" s="162">
        <f ca="1">OFFSET('IWP07'!Iwp9dot1OutstdChks, 7, 4, 1, 1)</f>
        <v>0</v>
      </c>
      <c r="C636" s="108">
        <f ca="1">IF(OFFSET('IWP07'!Iwp9dot1OutstdChks, 7, 5, 1, 1) =DATE(1900,1,0),DATE(1900,1,1),OFFSET('IWP07'!Iwp9dot1OutstdChks, 7, 5, 1, 1))</f>
        <v>1</v>
      </c>
      <c r="D636" s="166">
        <f ca="1">OFFSET('IWP07'!Iwp9dot1OutstdChks, 7, 6, 1, 1)</f>
        <v>0</v>
      </c>
    </row>
    <row r="637" spans="1:4">
      <c r="A637" s="160" t="s">
        <v>820</v>
      </c>
      <c r="B637" s="162">
        <f ca="1">OFFSET('IWP07'!Iwp9dot1OutstdChks, 8, 4, 1, 1)</f>
        <v>0</v>
      </c>
      <c r="C637" s="108">
        <f ca="1">IF(OFFSET('IWP07'!Iwp9dot1OutstdChks, 8, 5, 1, 1) =DATE(1900,1,0),DATE(1900,1,1),OFFSET('IWP07'!Iwp9dot1OutstdChks, 8, 5, 1, 1))</f>
        <v>1</v>
      </c>
      <c r="D637" s="166">
        <f ca="1">OFFSET('IWP07'!Iwp9dot1OutstdChks, 8, 6, 1, 1)</f>
        <v>0</v>
      </c>
    </row>
    <row r="638" spans="1:4">
      <c r="A638" s="160" t="s">
        <v>820</v>
      </c>
      <c r="B638" s="162">
        <f ca="1">OFFSET('IWP07'!Iwp9dot1OutstdChks, 9, 4, 1, 1)</f>
        <v>0</v>
      </c>
      <c r="C638" s="108">
        <f ca="1">IF(OFFSET('IWP07'!Iwp9dot1OutstdChks, 9, 5, 1, 1) =DATE(1900,1,0),DATE(1900,1,1),OFFSET('IWP07'!Iwp9dot1OutstdChks, 9, 5, 1, 1))</f>
        <v>1</v>
      </c>
      <c r="D638" s="166">
        <f ca="1">OFFSET('IWP07'!Iwp9dot1OutstdChks, 9, 6, 1, 1)</f>
        <v>0</v>
      </c>
    </row>
    <row r="639" spans="1:4">
      <c r="A639" s="160" t="s">
        <v>821</v>
      </c>
      <c r="B639" s="162">
        <f ca="1">OFFSET('IWP08'!Iwp9dot1OutstdChks, 0, 0, 1, 1)</f>
        <v>0</v>
      </c>
      <c r="C639" s="108">
        <f ca="1">IF(OFFSET('IWP08'!Iwp9dot1OutstdChks, 0, 1, 1, 1) =DATE(1900,1,0),DATE(1900,1,1),OFFSET('IWP08'!Iwp9dot1OutstdChks, 0, 1, 1, 1))</f>
        <v>1</v>
      </c>
      <c r="D639" s="166">
        <f ca="1">OFFSET('IWP08'!Iwp9dot1OutstdChks, 0, 2, 1, 1)</f>
        <v>0</v>
      </c>
    </row>
    <row r="640" spans="1:4">
      <c r="A640" s="160" t="s">
        <v>821</v>
      </c>
      <c r="B640" s="162">
        <f ca="1">OFFSET('IWP08'!Iwp9dot1OutstdChks, 1, 0, 1, 1)</f>
        <v>0</v>
      </c>
      <c r="C640" s="108">
        <f ca="1">IF(OFFSET('IWP08'!Iwp9dot1OutstdChks, 1, 1, 1, 1) =DATE(1900,1,0),DATE(1900,1,1),OFFSET('IWP08'!Iwp9dot1OutstdChks, 1, 1, 1, 1))</f>
        <v>1</v>
      </c>
      <c r="D640" s="166">
        <f ca="1">OFFSET('IWP08'!Iwp9dot1OutstdChks, 1, 2, 1, 1)</f>
        <v>0</v>
      </c>
    </row>
    <row r="641" spans="1:4">
      <c r="A641" s="160" t="s">
        <v>821</v>
      </c>
      <c r="B641" s="162">
        <f ca="1">OFFSET('IWP08'!Iwp9dot1OutstdChks, 2, 0, 1, 1)</f>
        <v>0</v>
      </c>
      <c r="C641" s="108">
        <f ca="1">IF(OFFSET('IWP08'!Iwp9dot1OutstdChks, 2, 1, 1, 1) =DATE(1900,1,0),DATE(1900,1,1),OFFSET('IWP08'!Iwp9dot1OutstdChks, 2, 1, 1, 1))</f>
        <v>1</v>
      </c>
      <c r="D641" s="166">
        <f ca="1">OFFSET('IWP08'!Iwp9dot1OutstdChks, 2, 2, 1, 1)</f>
        <v>0</v>
      </c>
    </row>
    <row r="642" spans="1:4">
      <c r="A642" s="160" t="s">
        <v>821</v>
      </c>
      <c r="B642" s="162">
        <f ca="1">OFFSET('IWP08'!Iwp9dot1OutstdChks, 3, 0, 1, 1)</f>
        <v>0</v>
      </c>
      <c r="C642" s="108">
        <f ca="1">IF(OFFSET('IWP08'!Iwp9dot1OutstdChks, 3, 1, 1, 1) =DATE(1900,1,0),DATE(1900,1,1),OFFSET('IWP08'!Iwp9dot1OutstdChks, 3, 1, 1, 1))</f>
        <v>1</v>
      </c>
      <c r="D642" s="166">
        <f ca="1">OFFSET('IWP08'!Iwp9dot1OutstdChks, 3, 2, 1, 1)</f>
        <v>0</v>
      </c>
    </row>
    <row r="643" spans="1:4">
      <c r="A643" s="160" t="s">
        <v>821</v>
      </c>
      <c r="B643" s="162">
        <f ca="1">OFFSET('IWP08'!Iwp9dot1OutstdChks, 4, 0, 1, 1)</f>
        <v>0</v>
      </c>
      <c r="C643" s="108">
        <f ca="1">IF(OFFSET('IWP08'!Iwp9dot1OutstdChks, 4, 1, 1, 1) =DATE(1900,1,0),DATE(1900,1,1),OFFSET('IWP08'!Iwp9dot1OutstdChks, 4, 1, 1, 1))</f>
        <v>1</v>
      </c>
      <c r="D643" s="166">
        <f ca="1">OFFSET('IWP08'!Iwp9dot1OutstdChks, 4, 2, 1, 1)</f>
        <v>0</v>
      </c>
    </row>
    <row r="644" spans="1:4">
      <c r="A644" s="160" t="s">
        <v>821</v>
      </c>
      <c r="B644" s="162">
        <f ca="1">OFFSET('IWP08'!Iwp9dot1OutstdChks, 5, 0, 1, 1)</f>
        <v>0</v>
      </c>
      <c r="C644" s="108">
        <f ca="1">IF(OFFSET('IWP08'!Iwp9dot1OutstdChks, 5, 1, 1, 1) =DATE(1900,1,0),DATE(1900,1,1),OFFSET('IWP08'!Iwp9dot1OutstdChks, 5, 1, 1, 1))</f>
        <v>1</v>
      </c>
      <c r="D644" s="166">
        <f ca="1">OFFSET('IWP08'!Iwp9dot1OutstdChks, 5, 2, 1, 1)</f>
        <v>0</v>
      </c>
    </row>
    <row r="645" spans="1:4">
      <c r="A645" s="160" t="s">
        <v>821</v>
      </c>
      <c r="B645" s="162">
        <f ca="1">OFFSET('IWP08'!Iwp9dot1OutstdChks, 6, 0, 1, 1)</f>
        <v>0</v>
      </c>
      <c r="C645" s="108">
        <f ca="1">IF(OFFSET('IWP08'!Iwp9dot1OutstdChks, 6, 1, 1, 1) =DATE(1900,1,0),DATE(1900,1,1),OFFSET('IWP08'!Iwp9dot1OutstdChks, 6, 1, 1, 1))</f>
        <v>1</v>
      </c>
      <c r="D645" s="166">
        <f ca="1">OFFSET('IWP08'!Iwp9dot1OutstdChks, 6, 2, 1, 1)</f>
        <v>0</v>
      </c>
    </row>
    <row r="646" spans="1:4">
      <c r="A646" s="160" t="s">
        <v>821</v>
      </c>
      <c r="B646" s="162">
        <f ca="1">OFFSET('IWP08'!Iwp9dot1OutstdChks, 7, 0, 1, 1)</f>
        <v>0</v>
      </c>
      <c r="C646" s="108">
        <f ca="1">IF(OFFSET('IWP08'!Iwp9dot1OutstdChks, 7, 1, 1, 1) =DATE(1900,1,0),DATE(1900,1,1),OFFSET('IWP08'!Iwp9dot1OutstdChks, 7, 1, 1, 1))</f>
        <v>1</v>
      </c>
      <c r="D646" s="166">
        <f ca="1">OFFSET('IWP08'!Iwp9dot1OutstdChks, 7, 2, 1, 1)</f>
        <v>0</v>
      </c>
    </row>
    <row r="647" spans="1:4">
      <c r="A647" s="160" t="s">
        <v>821</v>
      </c>
      <c r="B647" s="162">
        <f ca="1">OFFSET('IWP08'!Iwp9dot1OutstdChks, 8, 0, 1, 1)</f>
        <v>0</v>
      </c>
      <c r="C647" s="108">
        <f ca="1">IF(OFFSET('IWP08'!Iwp9dot1OutstdChks, 8, 1, 1, 1) =DATE(1900,1,0),DATE(1900,1,1),OFFSET('IWP08'!Iwp9dot1OutstdChks, 8, 1, 1, 1))</f>
        <v>1</v>
      </c>
      <c r="D647" s="166">
        <f ca="1">OFFSET('IWP08'!Iwp9dot1OutstdChks, 8, 2, 1, 1)</f>
        <v>0</v>
      </c>
    </row>
    <row r="648" spans="1:4">
      <c r="A648" s="160" t="s">
        <v>821</v>
      </c>
      <c r="B648" s="162">
        <f ca="1">OFFSET('IWP08'!Iwp9dot1OutstdChks, 9, 0, 1, 1)</f>
        <v>0</v>
      </c>
      <c r="C648" s="108">
        <f ca="1">IF(OFFSET('IWP08'!Iwp9dot1OutstdChks, 9, 1, 1, 1) =DATE(1900,1,0),DATE(1900,1,1),OFFSET('IWP08'!Iwp9dot1OutstdChks, 9, 1, 1, 1))</f>
        <v>1</v>
      </c>
      <c r="D648" s="166">
        <f ca="1">OFFSET('IWP08'!Iwp9dot1OutstdChks, 9, 2, 1, 1)</f>
        <v>0</v>
      </c>
    </row>
    <row r="649" spans="1:4">
      <c r="A649" s="160" t="s">
        <v>821</v>
      </c>
      <c r="B649" s="162">
        <f ca="1">OFFSET('IWP08'!Iwp9dot1OutstdChks, 0, 4, 1, 1)</f>
        <v>0</v>
      </c>
      <c r="C649" s="108">
        <f ca="1">IF(OFFSET('IWP08'!Iwp9dot1OutstdChks, 0, 5, 1, 1) =DATE(1900,1,0),DATE(1900,1,1),OFFSET('IWP08'!Iwp9dot1OutstdChks, 0, 5, 1, 1))</f>
        <v>1</v>
      </c>
      <c r="D649" s="166">
        <f ca="1">OFFSET('IWP08'!Iwp9dot1OutstdChks, 0, 6, 1, 1)</f>
        <v>0</v>
      </c>
    </row>
    <row r="650" spans="1:4">
      <c r="A650" s="160" t="s">
        <v>821</v>
      </c>
      <c r="B650" s="162">
        <f ca="1">OFFSET('IWP08'!Iwp9dot1OutstdChks, 1, 4, 1, 1)</f>
        <v>0</v>
      </c>
      <c r="C650" s="108">
        <f ca="1">IF(OFFSET('IWP08'!Iwp9dot1OutstdChks, 1, 5, 1, 1) =DATE(1900,1,0),DATE(1900,1,1),OFFSET('IWP08'!Iwp9dot1OutstdChks, 1, 5, 1, 1))</f>
        <v>1</v>
      </c>
      <c r="D650" s="166">
        <f ca="1">OFFSET('IWP08'!Iwp9dot1OutstdChks, 1, 6, 1, 1)</f>
        <v>0</v>
      </c>
    </row>
    <row r="651" spans="1:4">
      <c r="A651" s="160" t="s">
        <v>821</v>
      </c>
      <c r="B651" s="162">
        <f ca="1">OFFSET('IWP08'!Iwp9dot1OutstdChks, 2, 4, 1, 1)</f>
        <v>0</v>
      </c>
      <c r="C651" s="108">
        <f ca="1">IF(OFFSET('IWP08'!Iwp9dot1OutstdChks, 2, 5, 1, 1) =DATE(1900,1,0),DATE(1900,1,1),OFFSET('IWP08'!Iwp9dot1OutstdChks, 2, 5, 1, 1))</f>
        <v>1</v>
      </c>
      <c r="D651" s="166">
        <f ca="1">OFFSET('IWP08'!Iwp9dot1OutstdChks, 2, 6, 1, 1)</f>
        <v>0</v>
      </c>
    </row>
    <row r="652" spans="1:4">
      <c r="A652" s="160" t="s">
        <v>821</v>
      </c>
      <c r="B652" s="162">
        <f ca="1">OFFSET('IWP08'!Iwp9dot1OutstdChks, 3, 4, 1, 1)</f>
        <v>0</v>
      </c>
      <c r="C652" s="108">
        <f ca="1">IF(OFFSET('IWP08'!Iwp9dot1OutstdChks, 3, 5, 1, 1) =DATE(1900,1,0),DATE(1900,1,1),OFFSET('IWP08'!Iwp9dot1OutstdChks, 3, 5, 1, 1))</f>
        <v>1</v>
      </c>
      <c r="D652" s="166">
        <f ca="1">OFFSET('IWP08'!Iwp9dot1OutstdChks, 3, 6, 1, 1)</f>
        <v>0</v>
      </c>
    </row>
    <row r="653" spans="1:4">
      <c r="A653" s="160" t="s">
        <v>821</v>
      </c>
      <c r="B653" s="162">
        <f ca="1">OFFSET('IWP08'!Iwp9dot1OutstdChks, 4, 4, 1, 1)</f>
        <v>0</v>
      </c>
      <c r="C653" s="108">
        <f ca="1">IF(OFFSET('IWP08'!Iwp9dot1OutstdChks, 4, 5, 1, 1) =DATE(1900,1,0),DATE(1900,1,1),OFFSET('IWP08'!Iwp9dot1OutstdChks, 4, 5, 1, 1))</f>
        <v>1</v>
      </c>
      <c r="D653" s="166">
        <f ca="1">OFFSET('IWP08'!Iwp9dot1OutstdChks, 4, 6, 1, 1)</f>
        <v>0</v>
      </c>
    </row>
    <row r="654" spans="1:4">
      <c r="A654" s="160" t="s">
        <v>821</v>
      </c>
      <c r="B654" s="162">
        <f ca="1">OFFSET('IWP08'!Iwp9dot1OutstdChks, 5, 4, 1, 1)</f>
        <v>0</v>
      </c>
      <c r="C654" s="108">
        <f ca="1">IF(OFFSET('IWP08'!Iwp9dot1OutstdChks, 5, 5, 1, 1) =DATE(1900,1,0),DATE(1900,1,1),OFFSET('IWP08'!Iwp9dot1OutstdChks, 5, 5, 1, 1))</f>
        <v>1</v>
      </c>
      <c r="D654" s="166">
        <f ca="1">OFFSET('IWP08'!Iwp9dot1OutstdChks, 5, 6, 1, 1)</f>
        <v>0</v>
      </c>
    </row>
    <row r="655" spans="1:4">
      <c r="A655" s="160" t="s">
        <v>821</v>
      </c>
      <c r="B655" s="162">
        <f ca="1">OFFSET('IWP08'!Iwp9dot1OutstdChks, 6, 4, 1, 1)</f>
        <v>0</v>
      </c>
      <c r="C655" s="108">
        <f ca="1">IF(OFFSET('IWP08'!Iwp9dot1OutstdChks, 6, 5, 1, 1) =DATE(1900,1,0),DATE(1900,1,1),OFFSET('IWP08'!Iwp9dot1OutstdChks, 6, 5, 1, 1))</f>
        <v>1</v>
      </c>
      <c r="D655" s="166">
        <f ca="1">OFFSET('IWP08'!Iwp9dot1OutstdChks, 6, 6, 1, 1)</f>
        <v>0</v>
      </c>
    </row>
    <row r="656" spans="1:4">
      <c r="A656" s="160" t="s">
        <v>821</v>
      </c>
      <c r="B656" s="162">
        <f ca="1">OFFSET('IWP08'!Iwp9dot1OutstdChks, 7, 4, 1, 1)</f>
        <v>0</v>
      </c>
      <c r="C656" s="108">
        <f ca="1">IF(OFFSET('IWP08'!Iwp9dot1OutstdChks, 7, 5, 1, 1) =DATE(1900,1,0),DATE(1900,1,1),OFFSET('IWP08'!Iwp9dot1OutstdChks, 7, 5, 1, 1))</f>
        <v>1</v>
      </c>
      <c r="D656" s="166">
        <f ca="1">OFFSET('IWP08'!Iwp9dot1OutstdChks, 7, 6, 1, 1)</f>
        <v>0</v>
      </c>
    </row>
    <row r="657" spans="1:4">
      <c r="A657" s="160" t="s">
        <v>821</v>
      </c>
      <c r="B657" s="162">
        <f ca="1">OFFSET('IWP08'!Iwp9dot1OutstdChks, 8, 4, 1, 1)</f>
        <v>0</v>
      </c>
      <c r="C657" s="108">
        <f ca="1">IF(OFFSET('IWP08'!Iwp9dot1OutstdChks, 8, 5, 1, 1) =DATE(1900,1,0),DATE(1900,1,1),OFFSET('IWP08'!Iwp9dot1OutstdChks, 8, 5, 1, 1))</f>
        <v>1</v>
      </c>
      <c r="D657" s="166">
        <f ca="1">OFFSET('IWP08'!Iwp9dot1OutstdChks, 8, 6, 1, 1)</f>
        <v>0</v>
      </c>
    </row>
    <row r="658" spans="1:4" ht="15" thickBot="1">
      <c r="A658" s="161" t="s">
        <v>821</v>
      </c>
      <c r="B658" s="163">
        <f ca="1">OFFSET('IWP08'!Iwp9dot1OutstdChks, 9, 4, 1, 1)</f>
        <v>0</v>
      </c>
      <c r="C658" s="110">
        <f ca="1">IF(OFFSET('IWP08'!Iwp9dot1OutstdChks, 9, 5, 1, 1) =DATE(1900,1,0),DATE(1900,1,1),OFFSET('IWP08'!Iwp9dot1OutstdChks, 9, 5, 1, 1))</f>
        <v>1</v>
      </c>
      <c r="D658" s="167">
        <f ca="1">OFFSET('IWP08'!Iwp9dot1OutstdChks, 9, 6, 1, 1)</f>
        <v>0</v>
      </c>
    </row>
    <row r="659" spans="1:4">
      <c r="B659" s="112"/>
      <c r="C659" s="108"/>
      <c r="D659" s="113"/>
    </row>
    <row r="660" spans="1:4" ht="15" thickBot="1">
      <c r="A660" t="s">
        <v>888</v>
      </c>
      <c r="D660" s="113"/>
    </row>
    <row r="661" spans="1:4">
      <c r="A661" s="96" t="s">
        <v>725</v>
      </c>
      <c r="B661" s="97" t="s">
        <v>822</v>
      </c>
      <c r="C661" s="98" t="s">
        <v>151</v>
      </c>
      <c r="D661" s="113"/>
    </row>
    <row r="662" spans="1:4">
      <c r="A662" s="160" t="s">
        <v>747</v>
      </c>
      <c r="B662" s="108">
        <f ca="1">IF(OFFSET('IWP01'!Iwp9dot1DepstInTransit, 0, 0, 1, 1) =DATE(1900,1,0),DATE(1900,1,1),OFFSET('IWP01'!Iwp9dot1DepstInTransit, 0, 0, 1, 1))</f>
        <v>1</v>
      </c>
      <c r="C662" s="166">
        <f ca="1">OFFSET('IWP01'!Iwp9dot1DepstInTransit, 0, 1, 1, 1)</f>
        <v>0</v>
      </c>
      <c r="D662" s="113"/>
    </row>
    <row r="663" spans="1:4">
      <c r="A663" s="160" t="s">
        <v>747</v>
      </c>
      <c r="B663" s="108">
        <f ca="1">IF(OFFSET('IWP01'!Iwp9dot1DepstInTransit, 1, 0, 1, 1) =DATE(1900,1,0),DATE(1900,1,1),OFFSET('IWP01'!Iwp9dot1DepstInTransit, 1, 0, 1, 1))</f>
        <v>1</v>
      </c>
      <c r="C663" s="166">
        <f ca="1">OFFSET('IWP01'!Iwp9dot1DepstInTransit, 1, 1, 1, 1)</f>
        <v>0</v>
      </c>
      <c r="D663" s="113"/>
    </row>
    <row r="664" spans="1:4">
      <c r="A664" s="160" t="s">
        <v>747</v>
      </c>
      <c r="B664" s="108">
        <f ca="1">IF(OFFSET('IWP01'!Iwp9dot1DepstInTransit, 2, 0, 1, 1) =DATE(1900,1,0),DATE(1900,1,1),OFFSET('IWP01'!Iwp9dot1DepstInTransit, 2, 0, 1, 1))</f>
        <v>1</v>
      </c>
      <c r="C664" s="166">
        <f ca="1">OFFSET('IWP01'!Iwp9dot1DepstInTransit, 2, 1, 1, 1)</f>
        <v>0</v>
      </c>
      <c r="D664" s="113"/>
    </row>
    <row r="665" spans="1:4">
      <c r="A665" s="160" t="s">
        <v>747</v>
      </c>
      <c r="B665" s="108">
        <f ca="1">IF(OFFSET('IWP01'!Iwp9dot1DepstInTransit, 3, 0, 1, 1) =DATE(1900,1,0),DATE(1900,1,1),OFFSET('IWP01'!Iwp9dot1DepstInTransit, 3, 0, 1, 1))</f>
        <v>1</v>
      </c>
      <c r="C665" s="166">
        <f ca="1">OFFSET('IWP01'!Iwp9dot1DepstInTransit, 3, 1, 1, 1)</f>
        <v>0</v>
      </c>
      <c r="D665" s="113"/>
    </row>
    <row r="666" spans="1:4">
      <c r="A666" s="160" t="s">
        <v>747</v>
      </c>
      <c r="B666" s="108">
        <f ca="1">IF(OFFSET('IWP01'!Iwp9dot1DepstInTransit, 4, 0, 1, 1) =DATE(1900,1,0),DATE(1900,1,1),OFFSET('IWP01'!Iwp9dot1DepstInTransit, 4, 0, 1, 1))</f>
        <v>1</v>
      </c>
      <c r="C666" s="166">
        <f ca="1">OFFSET('IWP01'!Iwp9dot1DepstInTransit, 4, 1, 1, 1)</f>
        <v>0</v>
      </c>
      <c r="D666" s="113"/>
    </row>
    <row r="667" spans="1:4">
      <c r="A667" s="160" t="s">
        <v>747</v>
      </c>
      <c r="B667" s="108">
        <f ca="1">IF(OFFSET('IWP01'!Iwp9dot1DepstInTransit, 5, 0, 1, 1) =DATE(1900,1,0),DATE(1900,1,1),OFFSET('IWP01'!Iwp9dot1DepstInTransit, 5, 0, 1, 1))</f>
        <v>1</v>
      </c>
      <c r="C667" s="166">
        <f ca="1">OFFSET('IWP01'!Iwp9dot1DepstInTransit, 5, 1, 1, 1)</f>
        <v>0</v>
      </c>
      <c r="D667" s="113"/>
    </row>
    <row r="668" spans="1:4">
      <c r="A668" s="160" t="s">
        <v>747</v>
      </c>
      <c r="B668" s="108">
        <f ca="1">IF(OFFSET('IWP01'!Iwp9dot1DepstInTransit, 6, 0, 1, 1) =DATE(1900,1,0),DATE(1900,1,1),OFFSET('IWP01'!Iwp9dot1DepstInTransit, 6, 0, 1, 1))</f>
        <v>1</v>
      </c>
      <c r="C668" s="166">
        <f ca="1">OFFSET('IWP01'!Iwp9dot1DepstInTransit, 6, 1, 1, 1)</f>
        <v>0</v>
      </c>
      <c r="D668" s="113"/>
    </row>
    <row r="669" spans="1:4">
      <c r="A669" s="160" t="s">
        <v>747</v>
      </c>
      <c r="B669" s="108">
        <f ca="1">IF(OFFSET('IWP01'!Iwp9dot1DepstInTransit, 7, 0, 1, 1) =DATE(1900,1,0),DATE(1900,1,1),OFFSET('IWP01'!Iwp9dot1DepstInTransit, 7, 0, 1, 1))</f>
        <v>1</v>
      </c>
      <c r="C669" s="166">
        <f ca="1">OFFSET('IWP01'!Iwp9dot1DepstInTransit, 7, 1, 1, 1)</f>
        <v>0</v>
      </c>
      <c r="D669" s="113"/>
    </row>
    <row r="670" spans="1:4">
      <c r="A670" s="160" t="s">
        <v>747</v>
      </c>
      <c r="B670" s="108">
        <f ca="1">IF(OFFSET('IWP01'!Iwp9dot1DepstInTransit, 8, 0, 1, 1) =DATE(1900,1,0),DATE(1900,1,1),OFFSET('IWP01'!Iwp9dot1DepstInTransit, 8, 0, 1, 1))</f>
        <v>1</v>
      </c>
      <c r="C670" s="166">
        <f ca="1">OFFSET('IWP01'!Iwp9dot1DepstInTransit, 8, 1, 1, 1)</f>
        <v>0</v>
      </c>
      <c r="D670" s="113"/>
    </row>
    <row r="671" spans="1:4">
      <c r="A671" s="160" t="s">
        <v>747</v>
      </c>
      <c r="B671" s="108">
        <f ca="1">IF(OFFSET('IWP01'!Iwp9dot1DepstInTransit, 9, 0, 1, 1) =DATE(1900,1,0),DATE(1900,1,1),OFFSET('IWP01'!Iwp9dot1DepstInTransit, 9, 0, 1, 1))</f>
        <v>1</v>
      </c>
      <c r="C671" s="166">
        <f ca="1">OFFSET('IWP01'!Iwp9dot1DepstInTransit, 9, 1, 1, 1)</f>
        <v>0</v>
      </c>
      <c r="D671" s="113"/>
    </row>
    <row r="672" spans="1:4">
      <c r="A672" s="160" t="s">
        <v>748</v>
      </c>
      <c r="B672" s="108">
        <f ca="1">IF(OFFSET('IWP02'!Iwp9dot1DepstInTransit, 0, 0, 1, 1) =DATE(1900,1,0),DATE(1900,1,1),OFFSET('IWP02'!Iwp9dot1DepstInTransit, 0, 0, 1, 1))</f>
        <v>1</v>
      </c>
      <c r="C672" s="166">
        <f ca="1">OFFSET('IWP02'!Iwp9dot1DepstInTransit, 0, 1, 1, 1)</f>
        <v>0</v>
      </c>
      <c r="D672" s="113"/>
    </row>
    <row r="673" spans="1:4">
      <c r="A673" s="160" t="s">
        <v>748</v>
      </c>
      <c r="B673" s="108">
        <f ca="1">IF(OFFSET('IWP02'!Iwp9dot1DepstInTransit, 1, 0, 1, 1) =DATE(1900,1,0),DATE(1900,1,1),OFFSET('IWP02'!Iwp9dot1DepstInTransit, 1, 0, 1, 1))</f>
        <v>1</v>
      </c>
      <c r="C673" s="166">
        <f ca="1">OFFSET('IWP02'!Iwp9dot1DepstInTransit, 1, 1, 1, 1)</f>
        <v>0</v>
      </c>
      <c r="D673" s="113"/>
    </row>
    <row r="674" spans="1:4">
      <c r="A674" s="160" t="s">
        <v>748</v>
      </c>
      <c r="B674" s="108">
        <f ca="1">IF(OFFSET('IWP02'!Iwp9dot1DepstInTransit, 2, 0, 1, 1) =DATE(1900,1,0),DATE(1900,1,1),OFFSET('IWP02'!Iwp9dot1DepstInTransit, 2, 0, 1, 1))</f>
        <v>1</v>
      </c>
      <c r="C674" s="166">
        <f ca="1">OFFSET('IWP02'!Iwp9dot1DepstInTransit, 2, 1, 1, 1)</f>
        <v>0</v>
      </c>
      <c r="D674" s="113"/>
    </row>
    <row r="675" spans="1:4">
      <c r="A675" s="160" t="s">
        <v>748</v>
      </c>
      <c r="B675" s="108">
        <f ca="1">IF(OFFSET('IWP02'!Iwp9dot1DepstInTransit, 3, 0, 1, 1) =DATE(1900,1,0),DATE(1900,1,1),OFFSET('IWP02'!Iwp9dot1DepstInTransit, 3, 0, 1, 1))</f>
        <v>1</v>
      </c>
      <c r="C675" s="166">
        <f ca="1">OFFSET('IWP02'!Iwp9dot1DepstInTransit, 3, 1, 1, 1)</f>
        <v>0</v>
      </c>
      <c r="D675" s="113"/>
    </row>
    <row r="676" spans="1:4">
      <c r="A676" s="160" t="s">
        <v>748</v>
      </c>
      <c r="B676" s="108">
        <f ca="1">IF(OFFSET('IWP02'!Iwp9dot1DepstInTransit, 4, 0, 1, 1) =DATE(1900,1,0),DATE(1900,1,1),OFFSET('IWP02'!Iwp9dot1DepstInTransit, 4, 0, 1, 1))</f>
        <v>1</v>
      </c>
      <c r="C676" s="166">
        <f ca="1">OFFSET('IWP02'!Iwp9dot1DepstInTransit, 4, 1, 1, 1)</f>
        <v>0</v>
      </c>
      <c r="D676" s="113"/>
    </row>
    <row r="677" spans="1:4">
      <c r="A677" s="160" t="s">
        <v>748</v>
      </c>
      <c r="B677" s="108">
        <f ca="1">IF(OFFSET('IWP02'!Iwp9dot1DepstInTransit, 5, 0, 1, 1) =DATE(1900,1,0),DATE(1900,1,1),OFFSET('IWP02'!Iwp9dot1DepstInTransit, 5, 0, 1, 1))</f>
        <v>1</v>
      </c>
      <c r="C677" s="166">
        <f ca="1">OFFSET('IWP02'!Iwp9dot1DepstInTransit, 5, 1, 1, 1)</f>
        <v>0</v>
      </c>
      <c r="D677" s="113"/>
    </row>
    <row r="678" spans="1:4">
      <c r="A678" s="160" t="s">
        <v>748</v>
      </c>
      <c r="B678" s="108">
        <f ca="1">IF(OFFSET('IWP02'!Iwp9dot1DepstInTransit, 6, 0, 1, 1) =DATE(1900,1,0),DATE(1900,1,1),OFFSET('IWP02'!Iwp9dot1DepstInTransit, 6, 0, 1, 1))</f>
        <v>1</v>
      </c>
      <c r="C678" s="166">
        <f ca="1">OFFSET('IWP02'!Iwp9dot1DepstInTransit, 6, 1, 1, 1)</f>
        <v>0</v>
      </c>
      <c r="D678" s="113"/>
    </row>
    <row r="679" spans="1:4">
      <c r="A679" s="160" t="s">
        <v>748</v>
      </c>
      <c r="B679" s="108">
        <f ca="1">IF(OFFSET('IWP02'!Iwp9dot1DepstInTransit, 7, 0, 1, 1) =DATE(1900,1,0),DATE(1900,1,1),OFFSET('IWP02'!Iwp9dot1DepstInTransit, 7, 0, 1, 1))</f>
        <v>1</v>
      </c>
      <c r="C679" s="166">
        <f ca="1">OFFSET('IWP02'!Iwp9dot1DepstInTransit, 7, 1, 1, 1)</f>
        <v>0</v>
      </c>
      <c r="D679" s="113"/>
    </row>
    <row r="680" spans="1:4">
      <c r="A680" s="160" t="s">
        <v>748</v>
      </c>
      <c r="B680" s="108">
        <f ca="1">IF(OFFSET('IWP02'!Iwp9dot1DepstInTransit, 8, 0, 1, 1) =DATE(1900,1,0),DATE(1900,1,1),OFFSET('IWP02'!Iwp9dot1DepstInTransit, 8, 0, 1, 1))</f>
        <v>1</v>
      </c>
      <c r="C680" s="166">
        <f ca="1">OFFSET('IWP02'!Iwp9dot1DepstInTransit, 8, 1, 1, 1)</f>
        <v>0</v>
      </c>
      <c r="D680" s="113"/>
    </row>
    <row r="681" spans="1:4">
      <c r="A681" s="160" t="s">
        <v>748</v>
      </c>
      <c r="B681" s="108">
        <f ca="1">IF(OFFSET('IWP02'!Iwp9dot1DepstInTransit, 9, 0, 1, 1) =DATE(1900,1,0),DATE(1900,1,1),OFFSET('IWP02'!Iwp9dot1DepstInTransit, 9, 0, 1, 1))</f>
        <v>1</v>
      </c>
      <c r="C681" s="166">
        <f ca="1">OFFSET('IWP02'!Iwp9dot1DepstInTransit, 9, 1, 1, 1)</f>
        <v>0</v>
      </c>
      <c r="D681" s="113"/>
    </row>
    <row r="682" spans="1:4">
      <c r="A682" s="160" t="s">
        <v>749</v>
      </c>
      <c r="B682" s="108">
        <f ca="1">IF(OFFSET('IWP03'!Iwp9dot1DepstInTransit, 0, 0, 1, 1) =DATE(1900,1,0),DATE(1900,1,1),OFFSET('IWP03'!Iwp9dot1DepstInTransit, 0, 0, 1, 1))</f>
        <v>1</v>
      </c>
      <c r="C682" s="166">
        <f ca="1">OFFSET('IWP03'!Iwp9dot1DepstInTransit, 0, 1, 1, 1)</f>
        <v>0</v>
      </c>
      <c r="D682" s="113"/>
    </row>
    <row r="683" spans="1:4">
      <c r="A683" s="160" t="s">
        <v>749</v>
      </c>
      <c r="B683" s="108">
        <f ca="1">IF(OFFSET('IWP03'!Iwp9dot1DepstInTransit, 1, 0, 1, 1) =DATE(1900,1,0),DATE(1900,1,1),OFFSET('IWP03'!Iwp9dot1DepstInTransit, 1, 0, 1, 1))</f>
        <v>1</v>
      </c>
      <c r="C683" s="166">
        <f ca="1">OFFSET('IWP03'!Iwp9dot1DepstInTransit, 1, 1, 1, 1)</f>
        <v>0</v>
      </c>
      <c r="D683" s="113"/>
    </row>
    <row r="684" spans="1:4">
      <c r="A684" s="160" t="s">
        <v>749</v>
      </c>
      <c r="B684" s="108">
        <f ca="1">IF(OFFSET('IWP03'!Iwp9dot1DepstInTransit, 2, 0, 1, 1) =DATE(1900,1,0),DATE(1900,1,1),OFFSET('IWP03'!Iwp9dot1DepstInTransit, 2, 0, 1, 1))</f>
        <v>1</v>
      </c>
      <c r="C684" s="166">
        <f ca="1">OFFSET('IWP03'!Iwp9dot1DepstInTransit, 2, 1, 1, 1)</f>
        <v>0</v>
      </c>
      <c r="D684" s="113"/>
    </row>
    <row r="685" spans="1:4">
      <c r="A685" s="160" t="s">
        <v>749</v>
      </c>
      <c r="B685" s="108">
        <f ca="1">IF(OFFSET('IWP03'!Iwp9dot1DepstInTransit, 3, 0, 1, 1) =DATE(1900,1,0),DATE(1900,1,1),OFFSET('IWP03'!Iwp9dot1DepstInTransit, 3, 0, 1, 1))</f>
        <v>1</v>
      </c>
      <c r="C685" s="166">
        <f ca="1">OFFSET('IWP03'!Iwp9dot1DepstInTransit, 3, 1, 1, 1)</f>
        <v>0</v>
      </c>
      <c r="D685" s="113"/>
    </row>
    <row r="686" spans="1:4">
      <c r="A686" s="160" t="s">
        <v>749</v>
      </c>
      <c r="B686" s="108">
        <f ca="1">IF(OFFSET('IWP03'!Iwp9dot1DepstInTransit, 4, 0, 1, 1) =DATE(1900,1,0),DATE(1900,1,1),OFFSET('IWP03'!Iwp9dot1DepstInTransit, 4, 0, 1, 1))</f>
        <v>1</v>
      </c>
      <c r="C686" s="166">
        <f ca="1">OFFSET('IWP03'!Iwp9dot1DepstInTransit, 4, 1, 1, 1)</f>
        <v>0</v>
      </c>
      <c r="D686" s="113"/>
    </row>
    <row r="687" spans="1:4">
      <c r="A687" s="160" t="s">
        <v>749</v>
      </c>
      <c r="B687" s="108">
        <f ca="1">IF(OFFSET('IWP03'!Iwp9dot1DepstInTransit, 5, 0, 1, 1) =DATE(1900,1,0),DATE(1900,1,1),OFFSET('IWP03'!Iwp9dot1DepstInTransit, 5, 0, 1, 1))</f>
        <v>1</v>
      </c>
      <c r="C687" s="166">
        <f ca="1">OFFSET('IWP03'!Iwp9dot1DepstInTransit, 5, 1, 1, 1)</f>
        <v>0</v>
      </c>
      <c r="D687" s="113"/>
    </row>
    <row r="688" spans="1:4">
      <c r="A688" s="160" t="s">
        <v>749</v>
      </c>
      <c r="B688" s="108">
        <f ca="1">IF(OFFSET('IWP03'!Iwp9dot1DepstInTransit, 6, 0, 1, 1) =DATE(1900,1,0),DATE(1900,1,1),OFFSET('IWP03'!Iwp9dot1DepstInTransit, 6, 0, 1, 1))</f>
        <v>1</v>
      </c>
      <c r="C688" s="166">
        <f ca="1">OFFSET('IWP03'!Iwp9dot1DepstInTransit, 6, 1, 1, 1)</f>
        <v>0</v>
      </c>
      <c r="D688" s="113"/>
    </row>
    <row r="689" spans="1:4">
      <c r="A689" s="160" t="s">
        <v>749</v>
      </c>
      <c r="B689" s="108">
        <f ca="1">IF(OFFSET('IWP03'!Iwp9dot1DepstInTransit, 7, 0, 1, 1) =DATE(1900,1,0),DATE(1900,1,1),OFFSET('IWP03'!Iwp9dot1DepstInTransit, 7, 0, 1, 1))</f>
        <v>1</v>
      </c>
      <c r="C689" s="166">
        <f ca="1">OFFSET('IWP03'!Iwp9dot1DepstInTransit, 7, 1, 1, 1)</f>
        <v>0</v>
      </c>
      <c r="D689" s="113"/>
    </row>
    <row r="690" spans="1:4">
      <c r="A690" s="160" t="s">
        <v>749</v>
      </c>
      <c r="B690" s="108">
        <f ca="1">IF(OFFSET('IWP03'!Iwp9dot1DepstInTransit, 8, 0, 1, 1) =DATE(1900,1,0),DATE(1900,1,1),OFFSET('IWP03'!Iwp9dot1DepstInTransit, 8, 0, 1, 1))</f>
        <v>1</v>
      </c>
      <c r="C690" s="166">
        <f ca="1">OFFSET('IWP03'!Iwp9dot1DepstInTransit, 8, 1, 1, 1)</f>
        <v>0</v>
      </c>
      <c r="D690" s="113"/>
    </row>
    <row r="691" spans="1:4">
      <c r="A691" s="160" t="s">
        <v>749</v>
      </c>
      <c r="B691" s="108">
        <f ca="1">IF(OFFSET('IWP03'!Iwp9dot1DepstInTransit, 9, 0, 1, 1) =DATE(1900,1,0),DATE(1900,1,1),OFFSET('IWP03'!Iwp9dot1DepstInTransit, 9, 0, 1, 1))</f>
        <v>1</v>
      </c>
      <c r="C691" s="166">
        <f ca="1">OFFSET('IWP03'!Iwp9dot1DepstInTransit, 9, 1, 1, 1)</f>
        <v>0</v>
      </c>
      <c r="D691" s="113"/>
    </row>
    <row r="692" spans="1:4">
      <c r="A692" s="160" t="s">
        <v>817</v>
      </c>
      <c r="B692" s="108">
        <f ca="1">IF(OFFSET('IWP04'!Iwp9dot1DepstInTransit, 0, 0, 1, 1) =DATE(1900,1,0),DATE(1900,1,1),OFFSET('IWP04'!Iwp9dot1DepstInTransit, 0, 0, 1, 1))</f>
        <v>1</v>
      </c>
      <c r="C692" s="166">
        <f ca="1">OFFSET('IWP04'!Iwp9dot1DepstInTransit, 0, 1, 1, 1)</f>
        <v>0</v>
      </c>
      <c r="D692" s="113"/>
    </row>
    <row r="693" spans="1:4">
      <c r="A693" s="160" t="s">
        <v>817</v>
      </c>
      <c r="B693" s="108">
        <f ca="1">IF(OFFSET('IWP04'!Iwp9dot1DepstInTransit, 1, 0, 1, 1) =DATE(1900,1,0),DATE(1900,1,1),OFFSET('IWP04'!Iwp9dot1DepstInTransit, 1, 0, 1, 1))</f>
        <v>1</v>
      </c>
      <c r="C693" s="166">
        <f ca="1">OFFSET('IWP04'!Iwp9dot1DepstInTransit, 1, 1, 1, 1)</f>
        <v>0</v>
      </c>
      <c r="D693" s="113"/>
    </row>
    <row r="694" spans="1:4">
      <c r="A694" s="160" t="s">
        <v>817</v>
      </c>
      <c r="B694" s="108">
        <f ca="1">IF(OFFSET('IWP04'!Iwp9dot1DepstInTransit, 2, 0, 1, 1) =DATE(1900,1,0),DATE(1900,1,1),OFFSET('IWP04'!Iwp9dot1DepstInTransit, 2, 0, 1, 1))</f>
        <v>1</v>
      </c>
      <c r="C694" s="166">
        <f ca="1">OFFSET('IWP04'!Iwp9dot1DepstInTransit, 2, 1, 1, 1)</f>
        <v>0</v>
      </c>
      <c r="D694" s="113"/>
    </row>
    <row r="695" spans="1:4">
      <c r="A695" s="160" t="s">
        <v>817</v>
      </c>
      <c r="B695" s="108">
        <f ca="1">IF(OFFSET('IWP04'!Iwp9dot1DepstInTransit, 3, 0, 1, 1) =DATE(1900,1,0),DATE(1900,1,1),OFFSET('IWP04'!Iwp9dot1DepstInTransit, 3, 0, 1, 1))</f>
        <v>1</v>
      </c>
      <c r="C695" s="166">
        <f ca="1">OFFSET('IWP04'!Iwp9dot1DepstInTransit, 3, 1, 1, 1)</f>
        <v>0</v>
      </c>
      <c r="D695" s="113"/>
    </row>
    <row r="696" spans="1:4">
      <c r="A696" s="160" t="s">
        <v>817</v>
      </c>
      <c r="B696" s="108">
        <f ca="1">IF(OFFSET('IWP04'!Iwp9dot1DepstInTransit, 4, 0, 1, 1) =DATE(1900,1,0),DATE(1900,1,1),OFFSET('IWP04'!Iwp9dot1DepstInTransit, 4, 0, 1, 1))</f>
        <v>1</v>
      </c>
      <c r="C696" s="166">
        <f ca="1">OFFSET('IWP04'!Iwp9dot1DepstInTransit, 4, 1, 1, 1)</f>
        <v>0</v>
      </c>
      <c r="D696" s="113"/>
    </row>
    <row r="697" spans="1:4">
      <c r="A697" s="160" t="s">
        <v>817</v>
      </c>
      <c r="B697" s="108">
        <f ca="1">IF(OFFSET('IWP04'!Iwp9dot1DepstInTransit, 5, 0, 1, 1) =DATE(1900,1,0),DATE(1900,1,1),OFFSET('IWP04'!Iwp9dot1DepstInTransit, 5, 0, 1, 1))</f>
        <v>1</v>
      </c>
      <c r="C697" s="166">
        <f ca="1">OFFSET('IWP04'!Iwp9dot1DepstInTransit, 5, 1, 1, 1)</f>
        <v>0</v>
      </c>
      <c r="D697" s="113"/>
    </row>
    <row r="698" spans="1:4">
      <c r="A698" s="160" t="s">
        <v>817</v>
      </c>
      <c r="B698" s="108">
        <f ca="1">IF(OFFSET('IWP04'!Iwp9dot1DepstInTransit, 6, 0, 1, 1) =DATE(1900,1,0),DATE(1900,1,1),OFFSET('IWP04'!Iwp9dot1DepstInTransit, 6, 0, 1, 1))</f>
        <v>1</v>
      </c>
      <c r="C698" s="166">
        <f ca="1">OFFSET('IWP04'!Iwp9dot1DepstInTransit, 6, 1, 1, 1)</f>
        <v>0</v>
      </c>
      <c r="D698" s="113"/>
    </row>
    <row r="699" spans="1:4">
      <c r="A699" s="160" t="s">
        <v>817</v>
      </c>
      <c r="B699" s="108">
        <f ca="1">IF(OFFSET('IWP04'!Iwp9dot1DepstInTransit, 7, 0, 1, 1) =DATE(1900,1,0),DATE(1900,1,1),OFFSET('IWP04'!Iwp9dot1DepstInTransit, 7, 0, 1, 1))</f>
        <v>1</v>
      </c>
      <c r="C699" s="166">
        <f ca="1">OFFSET('IWP04'!Iwp9dot1DepstInTransit, 7, 1, 1, 1)</f>
        <v>0</v>
      </c>
      <c r="D699" s="113"/>
    </row>
    <row r="700" spans="1:4">
      <c r="A700" s="160" t="s">
        <v>817</v>
      </c>
      <c r="B700" s="108">
        <f ca="1">IF(OFFSET('IWP04'!Iwp9dot1DepstInTransit, 8, 0, 1, 1) =DATE(1900,1,0),DATE(1900,1,1),OFFSET('IWP04'!Iwp9dot1DepstInTransit, 8, 0, 1, 1))</f>
        <v>1</v>
      </c>
      <c r="C700" s="166">
        <f ca="1">OFFSET('IWP04'!Iwp9dot1DepstInTransit, 8, 1, 1, 1)</f>
        <v>0</v>
      </c>
      <c r="D700" s="113"/>
    </row>
    <row r="701" spans="1:4">
      <c r="A701" s="160" t="s">
        <v>817</v>
      </c>
      <c r="B701" s="108">
        <f ca="1">IF(OFFSET('IWP04'!Iwp9dot1DepstInTransit, 9, 0, 1, 1) =DATE(1900,1,0),DATE(1900,1,1),OFFSET('IWP04'!Iwp9dot1DepstInTransit, 9, 0, 1, 1))</f>
        <v>1</v>
      </c>
      <c r="C701" s="166">
        <f ca="1">OFFSET('IWP04'!Iwp9dot1DepstInTransit, 9, 1, 1, 1)</f>
        <v>0</v>
      </c>
      <c r="D701" s="113"/>
    </row>
    <row r="702" spans="1:4">
      <c r="A702" s="160" t="s">
        <v>818</v>
      </c>
      <c r="B702" s="108">
        <f ca="1">IF(OFFSET('IWP05'!Iwp9dot1DepstInTransit, 0, 0, 1, 1) =DATE(1900,1,0),DATE(1900,1,1),OFFSET('IWP05'!Iwp9dot1DepstInTransit, 0, 0, 1, 1))</f>
        <v>1</v>
      </c>
      <c r="C702" s="166">
        <f ca="1">OFFSET('IWP05'!Iwp9dot1DepstInTransit, 0, 1, 1, 1)</f>
        <v>0</v>
      </c>
      <c r="D702" s="113"/>
    </row>
    <row r="703" spans="1:4">
      <c r="A703" s="160" t="s">
        <v>818</v>
      </c>
      <c r="B703" s="108">
        <f ca="1">IF(OFFSET('IWP05'!Iwp9dot1DepstInTransit, 1, 0, 1, 1) =DATE(1900,1,0),DATE(1900,1,1),OFFSET('IWP05'!Iwp9dot1DepstInTransit, 1, 0, 1, 1))</f>
        <v>1</v>
      </c>
      <c r="C703" s="166">
        <f ca="1">OFFSET('IWP05'!Iwp9dot1DepstInTransit, 1, 1, 1, 1)</f>
        <v>0</v>
      </c>
      <c r="D703" s="113"/>
    </row>
    <row r="704" spans="1:4">
      <c r="A704" s="160" t="s">
        <v>818</v>
      </c>
      <c r="B704" s="108">
        <f ca="1">IF(OFFSET('IWP05'!Iwp9dot1DepstInTransit, 2, 0, 1, 1) =DATE(1900,1,0),DATE(1900,1,1),OFFSET('IWP05'!Iwp9dot1DepstInTransit, 2, 0, 1, 1))</f>
        <v>1</v>
      </c>
      <c r="C704" s="166">
        <f ca="1">OFFSET('IWP05'!Iwp9dot1DepstInTransit, 2, 1, 1, 1)</f>
        <v>0</v>
      </c>
      <c r="D704" s="113"/>
    </row>
    <row r="705" spans="1:4">
      <c r="A705" s="160" t="s">
        <v>818</v>
      </c>
      <c r="B705" s="108">
        <f ca="1">IF(OFFSET('IWP05'!Iwp9dot1DepstInTransit, 3, 0, 1, 1) =DATE(1900,1,0),DATE(1900,1,1),OFFSET('IWP05'!Iwp9dot1DepstInTransit, 3, 0, 1, 1))</f>
        <v>1</v>
      </c>
      <c r="C705" s="166">
        <f ca="1">OFFSET('IWP05'!Iwp9dot1DepstInTransit, 3, 1, 1, 1)</f>
        <v>0</v>
      </c>
      <c r="D705" s="113"/>
    </row>
    <row r="706" spans="1:4">
      <c r="A706" s="160" t="s">
        <v>818</v>
      </c>
      <c r="B706" s="108">
        <f ca="1">IF(OFFSET('IWP05'!Iwp9dot1DepstInTransit, 4, 0, 1, 1) =DATE(1900,1,0),DATE(1900,1,1),OFFSET('IWP05'!Iwp9dot1DepstInTransit, 4, 0, 1, 1))</f>
        <v>1</v>
      </c>
      <c r="C706" s="166">
        <f ca="1">OFFSET('IWP05'!Iwp9dot1DepstInTransit, 4, 1, 1, 1)</f>
        <v>0</v>
      </c>
      <c r="D706" s="113"/>
    </row>
    <row r="707" spans="1:4">
      <c r="A707" s="160" t="s">
        <v>818</v>
      </c>
      <c r="B707" s="108">
        <f ca="1">IF(OFFSET('IWP05'!Iwp9dot1DepstInTransit, 5, 0, 1, 1) =DATE(1900,1,0),DATE(1900,1,1),OFFSET('IWP05'!Iwp9dot1DepstInTransit, 5, 0, 1, 1))</f>
        <v>1</v>
      </c>
      <c r="C707" s="166">
        <f ca="1">OFFSET('IWP05'!Iwp9dot1DepstInTransit, 5, 1, 1, 1)</f>
        <v>0</v>
      </c>
      <c r="D707" s="113"/>
    </row>
    <row r="708" spans="1:4">
      <c r="A708" s="160" t="s">
        <v>818</v>
      </c>
      <c r="B708" s="108">
        <f ca="1">IF(OFFSET('IWP05'!Iwp9dot1DepstInTransit, 6, 0, 1, 1) =DATE(1900,1,0),DATE(1900,1,1),OFFSET('IWP05'!Iwp9dot1DepstInTransit, 6, 0, 1, 1))</f>
        <v>1</v>
      </c>
      <c r="C708" s="166">
        <f ca="1">OFFSET('IWP05'!Iwp9dot1DepstInTransit, 6, 1, 1, 1)</f>
        <v>0</v>
      </c>
      <c r="D708" s="113"/>
    </row>
    <row r="709" spans="1:4">
      <c r="A709" s="160" t="s">
        <v>818</v>
      </c>
      <c r="B709" s="108">
        <f ca="1">IF(OFFSET('IWP05'!Iwp9dot1DepstInTransit, 7, 0, 1, 1) =DATE(1900,1,0),DATE(1900,1,1),OFFSET('IWP05'!Iwp9dot1DepstInTransit, 7, 0, 1, 1))</f>
        <v>1</v>
      </c>
      <c r="C709" s="166">
        <f ca="1">OFFSET('IWP05'!Iwp9dot1DepstInTransit, 7, 1, 1, 1)</f>
        <v>0</v>
      </c>
      <c r="D709" s="113"/>
    </row>
    <row r="710" spans="1:4">
      <c r="A710" s="160" t="s">
        <v>818</v>
      </c>
      <c r="B710" s="108">
        <f ca="1">IF(OFFSET('IWP05'!Iwp9dot1DepstInTransit, 8, 0, 1, 1) =DATE(1900,1,0),DATE(1900,1,1),OFFSET('IWP05'!Iwp9dot1DepstInTransit, 8, 0, 1, 1))</f>
        <v>1</v>
      </c>
      <c r="C710" s="166">
        <f ca="1">OFFSET('IWP05'!Iwp9dot1DepstInTransit, 8, 1, 1, 1)</f>
        <v>0</v>
      </c>
      <c r="D710" s="113"/>
    </row>
    <row r="711" spans="1:4">
      <c r="A711" s="160" t="s">
        <v>818</v>
      </c>
      <c r="B711" s="108">
        <f ca="1">IF(OFFSET('IWP05'!Iwp9dot1DepstInTransit, 9, 0, 1, 1) =DATE(1900,1,0),DATE(1900,1,1),OFFSET('IWP05'!Iwp9dot1DepstInTransit, 9, 0, 1, 1))</f>
        <v>1</v>
      </c>
      <c r="C711" s="166">
        <f ca="1">OFFSET('IWP05'!Iwp9dot1DepstInTransit, 9, 1, 1, 1)</f>
        <v>0</v>
      </c>
      <c r="D711" s="113"/>
    </row>
    <row r="712" spans="1:4">
      <c r="A712" s="160" t="s">
        <v>819</v>
      </c>
      <c r="B712" s="108">
        <f ca="1">IF(OFFSET('IWP06'!Iwp9dot1DepstInTransit, 0, 0, 1, 1) =DATE(1900,1,0),DATE(1900,1,1),OFFSET('IWP06'!Iwp9dot1DepstInTransit, 0, 0, 1, 1))</f>
        <v>1</v>
      </c>
      <c r="C712" s="166">
        <f ca="1">OFFSET('IWP06'!Iwp9dot1DepstInTransit, 0, 1, 1, 1)</f>
        <v>0</v>
      </c>
      <c r="D712" s="113"/>
    </row>
    <row r="713" spans="1:4">
      <c r="A713" s="160" t="s">
        <v>819</v>
      </c>
      <c r="B713" s="108">
        <f ca="1">IF(OFFSET('IWP06'!Iwp9dot1DepstInTransit, 1, 0, 1, 1) =DATE(1900,1,0),DATE(1900,1,1),OFFSET('IWP06'!Iwp9dot1DepstInTransit, 1, 0, 1, 1))</f>
        <v>1</v>
      </c>
      <c r="C713" s="166">
        <f ca="1">OFFSET('IWP06'!Iwp9dot1DepstInTransit, 1, 1, 1, 1)</f>
        <v>0</v>
      </c>
      <c r="D713" s="113"/>
    </row>
    <row r="714" spans="1:4">
      <c r="A714" s="160" t="s">
        <v>819</v>
      </c>
      <c r="B714" s="108">
        <f ca="1">IF(OFFSET('IWP06'!Iwp9dot1DepstInTransit, 2, 0, 1, 1) =DATE(1900,1,0),DATE(1900,1,1),OFFSET('IWP06'!Iwp9dot1DepstInTransit, 2, 0, 1, 1))</f>
        <v>1</v>
      </c>
      <c r="C714" s="166">
        <f ca="1">OFFSET('IWP06'!Iwp9dot1DepstInTransit, 2, 1, 1, 1)</f>
        <v>0</v>
      </c>
      <c r="D714" s="113"/>
    </row>
    <row r="715" spans="1:4">
      <c r="A715" s="160" t="s">
        <v>819</v>
      </c>
      <c r="B715" s="108">
        <f ca="1">IF(OFFSET('IWP06'!Iwp9dot1DepstInTransit, 3, 0, 1, 1) =DATE(1900,1,0),DATE(1900,1,1),OFFSET('IWP06'!Iwp9dot1DepstInTransit, 3, 0, 1, 1))</f>
        <v>1</v>
      </c>
      <c r="C715" s="166">
        <f ca="1">OFFSET('IWP06'!Iwp9dot1DepstInTransit, 3, 1, 1, 1)</f>
        <v>0</v>
      </c>
      <c r="D715" s="113"/>
    </row>
    <row r="716" spans="1:4">
      <c r="A716" s="160" t="s">
        <v>819</v>
      </c>
      <c r="B716" s="108">
        <f ca="1">IF(OFFSET('IWP06'!Iwp9dot1DepstInTransit, 4, 0, 1, 1) =DATE(1900,1,0),DATE(1900,1,1),OFFSET('IWP06'!Iwp9dot1DepstInTransit, 4, 0, 1, 1))</f>
        <v>1</v>
      </c>
      <c r="C716" s="166">
        <f ca="1">OFFSET('IWP06'!Iwp9dot1DepstInTransit, 4, 1, 1, 1)</f>
        <v>0</v>
      </c>
      <c r="D716" s="113"/>
    </row>
    <row r="717" spans="1:4">
      <c r="A717" s="160" t="s">
        <v>819</v>
      </c>
      <c r="B717" s="108">
        <f ca="1">IF(OFFSET('IWP06'!Iwp9dot1DepstInTransit, 5, 0, 1, 1) =DATE(1900,1,0),DATE(1900,1,1),OFFSET('IWP06'!Iwp9dot1DepstInTransit, 5, 0, 1, 1))</f>
        <v>1</v>
      </c>
      <c r="C717" s="166">
        <f ca="1">OFFSET('IWP06'!Iwp9dot1DepstInTransit, 5, 1, 1, 1)</f>
        <v>0</v>
      </c>
      <c r="D717" s="113"/>
    </row>
    <row r="718" spans="1:4">
      <c r="A718" s="160" t="s">
        <v>819</v>
      </c>
      <c r="B718" s="108">
        <f ca="1">IF(OFFSET('IWP06'!Iwp9dot1DepstInTransit, 6, 0, 1, 1) =DATE(1900,1,0),DATE(1900,1,1),OFFSET('IWP06'!Iwp9dot1DepstInTransit, 6, 0, 1, 1))</f>
        <v>1</v>
      </c>
      <c r="C718" s="166">
        <f ca="1">OFFSET('IWP06'!Iwp9dot1DepstInTransit, 6, 1, 1, 1)</f>
        <v>0</v>
      </c>
      <c r="D718" s="113"/>
    </row>
    <row r="719" spans="1:4">
      <c r="A719" s="160" t="s">
        <v>819</v>
      </c>
      <c r="B719" s="108">
        <f ca="1">IF(OFFSET('IWP06'!Iwp9dot1DepstInTransit, 7, 0, 1, 1) =DATE(1900,1,0),DATE(1900,1,1),OFFSET('IWP06'!Iwp9dot1DepstInTransit, 7, 0, 1, 1))</f>
        <v>1</v>
      </c>
      <c r="C719" s="166">
        <f ca="1">OFFSET('IWP06'!Iwp9dot1DepstInTransit, 7, 1, 1, 1)</f>
        <v>0</v>
      </c>
      <c r="D719" s="113"/>
    </row>
    <row r="720" spans="1:4">
      <c r="A720" s="160" t="s">
        <v>819</v>
      </c>
      <c r="B720" s="108">
        <f ca="1">IF(OFFSET('IWP06'!Iwp9dot1DepstInTransit, 8, 0, 1, 1) =DATE(1900,1,0),DATE(1900,1,1),OFFSET('IWP06'!Iwp9dot1DepstInTransit, 8, 0, 1, 1))</f>
        <v>1</v>
      </c>
      <c r="C720" s="166">
        <f ca="1">OFFSET('IWP06'!Iwp9dot1DepstInTransit, 8, 1, 1, 1)</f>
        <v>0</v>
      </c>
      <c r="D720" s="113"/>
    </row>
    <row r="721" spans="1:4">
      <c r="A721" s="160" t="s">
        <v>819</v>
      </c>
      <c r="B721" s="108">
        <f ca="1">IF(OFFSET('IWP06'!Iwp9dot1DepstInTransit, 9, 0, 1, 1) =DATE(1900,1,0),DATE(1900,1,1),OFFSET('IWP06'!Iwp9dot1DepstInTransit, 9, 0, 1, 1))</f>
        <v>1</v>
      </c>
      <c r="C721" s="166">
        <f ca="1">OFFSET('IWP06'!Iwp9dot1DepstInTransit, 9, 1, 1, 1)</f>
        <v>0</v>
      </c>
      <c r="D721" s="113"/>
    </row>
    <row r="722" spans="1:4">
      <c r="A722" s="160" t="s">
        <v>820</v>
      </c>
      <c r="B722" s="108">
        <f ca="1">IF(OFFSET('IWP07'!Iwp9dot1DepstInTransit, 0, 0, 1, 1) =DATE(1900,1,0),DATE(1900,1,1),OFFSET('IWP07'!Iwp9dot1DepstInTransit, 0, 0, 1, 1))</f>
        <v>1</v>
      </c>
      <c r="C722" s="166">
        <f ca="1">OFFSET('IWP07'!Iwp9dot1DepstInTransit, 0, 1, 1, 1)</f>
        <v>0</v>
      </c>
      <c r="D722" s="113"/>
    </row>
    <row r="723" spans="1:4">
      <c r="A723" s="160" t="s">
        <v>820</v>
      </c>
      <c r="B723" s="108">
        <f ca="1">IF(OFFSET('IWP07'!Iwp9dot1DepstInTransit, 1, 0, 1, 1) =DATE(1900,1,0),DATE(1900,1,1),OFFSET('IWP07'!Iwp9dot1DepstInTransit, 1, 0, 1, 1))</f>
        <v>1</v>
      </c>
      <c r="C723" s="166">
        <f ca="1">OFFSET('IWP07'!Iwp9dot1DepstInTransit, 1, 1, 1, 1)</f>
        <v>0</v>
      </c>
      <c r="D723" s="113"/>
    </row>
    <row r="724" spans="1:4">
      <c r="A724" s="160" t="s">
        <v>820</v>
      </c>
      <c r="B724" s="108">
        <f ca="1">IF(OFFSET('IWP07'!Iwp9dot1DepstInTransit, 2, 0, 1, 1) =DATE(1900,1,0),DATE(1900,1,1),OFFSET('IWP07'!Iwp9dot1DepstInTransit, 2, 0, 1, 1))</f>
        <v>1</v>
      </c>
      <c r="C724" s="166">
        <f ca="1">OFFSET('IWP07'!Iwp9dot1DepstInTransit, 2, 1, 1, 1)</f>
        <v>0</v>
      </c>
      <c r="D724" s="113"/>
    </row>
    <row r="725" spans="1:4">
      <c r="A725" s="160" t="s">
        <v>820</v>
      </c>
      <c r="B725" s="108">
        <f ca="1">IF(OFFSET('IWP07'!Iwp9dot1DepstInTransit, 3, 0, 1, 1) =DATE(1900,1,0),DATE(1900,1,1),OFFSET('IWP07'!Iwp9dot1DepstInTransit, 3, 0, 1, 1))</f>
        <v>1</v>
      </c>
      <c r="C725" s="166">
        <f ca="1">OFFSET('IWP07'!Iwp9dot1DepstInTransit, 3, 1, 1, 1)</f>
        <v>0</v>
      </c>
      <c r="D725" s="113"/>
    </row>
    <row r="726" spans="1:4">
      <c r="A726" s="160" t="s">
        <v>820</v>
      </c>
      <c r="B726" s="108">
        <f ca="1">IF(OFFSET('IWP07'!Iwp9dot1DepstInTransit, 4, 0, 1, 1) =DATE(1900,1,0),DATE(1900,1,1),OFFSET('IWP07'!Iwp9dot1DepstInTransit, 4, 0, 1, 1))</f>
        <v>1</v>
      </c>
      <c r="C726" s="166">
        <f ca="1">OFFSET('IWP07'!Iwp9dot1DepstInTransit, 4, 1, 1, 1)</f>
        <v>0</v>
      </c>
      <c r="D726" s="113"/>
    </row>
    <row r="727" spans="1:4">
      <c r="A727" s="160" t="s">
        <v>820</v>
      </c>
      <c r="B727" s="108">
        <f ca="1">IF(OFFSET('IWP07'!Iwp9dot1DepstInTransit, 5, 0, 1, 1) =DATE(1900,1,0),DATE(1900,1,1),OFFSET('IWP07'!Iwp9dot1DepstInTransit, 5, 0, 1, 1))</f>
        <v>1</v>
      </c>
      <c r="C727" s="166">
        <f ca="1">OFFSET('IWP07'!Iwp9dot1DepstInTransit, 5, 1, 1, 1)</f>
        <v>0</v>
      </c>
      <c r="D727" s="113"/>
    </row>
    <row r="728" spans="1:4">
      <c r="A728" s="160" t="s">
        <v>820</v>
      </c>
      <c r="B728" s="108">
        <f ca="1">IF(OFFSET('IWP07'!Iwp9dot1DepstInTransit, 6, 0, 1, 1) =DATE(1900,1,0),DATE(1900,1,1),OFFSET('IWP07'!Iwp9dot1DepstInTransit, 6, 0, 1, 1))</f>
        <v>1</v>
      </c>
      <c r="C728" s="166">
        <f ca="1">OFFSET('IWP07'!Iwp9dot1DepstInTransit, 6, 1, 1, 1)</f>
        <v>0</v>
      </c>
      <c r="D728" s="113"/>
    </row>
    <row r="729" spans="1:4">
      <c r="A729" s="160" t="s">
        <v>820</v>
      </c>
      <c r="B729" s="108">
        <f ca="1">IF(OFFSET('IWP07'!Iwp9dot1DepstInTransit, 7, 0, 1, 1) =DATE(1900,1,0),DATE(1900,1,1),OFFSET('IWP07'!Iwp9dot1DepstInTransit, 7, 0, 1, 1))</f>
        <v>1</v>
      </c>
      <c r="C729" s="166">
        <f ca="1">OFFSET('IWP07'!Iwp9dot1DepstInTransit, 7, 1, 1, 1)</f>
        <v>0</v>
      </c>
      <c r="D729" s="113"/>
    </row>
    <row r="730" spans="1:4">
      <c r="A730" s="160" t="s">
        <v>820</v>
      </c>
      <c r="B730" s="108">
        <f ca="1">IF(OFFSET('IWP07'!Iwp9dot1DepstInTransit, 8, 0, 1, 1) =DATE(1900,1,0),DATE(1900,1,1),OFFSET('IWP07'!Iwp9dot1DepstInTransit, 8, 0, 1, 1))</f>
        <v>1</v>
      </c>
      <c r="C730" s="166">
        <f ca="1">OFFSET('IWP07'!Iwp9dot1DepstInTransit, 8, 1, 1, 1)</f>
        <v>0</v>
      </c>
      <c r="D730" s="113"/>
    </row>
    <row r="731" spans="1:4">
      <c r="A731" s="160" t="s">
        <v>820</v>
      </c>
      <c r="B731" s="108">
        <f ca="1">IF(OFFSET('IWP07'!Iwp9dot1DepstInTransit, 9, 0, 1, 1) =DATE(1900,1,0),DATE(1900,1,1),OFFSET('IWP07'!Iwp9dot1DepstInTransit, 9, 0, 1, 1))</f>
        <v>1</v>
      </c>
      <c r="C731" s="166">
        <f ca="1">OFFSET('IWP07'!Iwp9dot1DepstInTransit, 9, 1, 1, 1)</f>
        <v>0</v>
      </c>
      <c r="D731" s="113"/>
    </row>
    <row r="732" spans="1:4">
      <c r="A732" s="160" t="s">
        <v>821</v>
      </c>
      <c r="B732" s="108">
        <f ca="1">IF(OFFSET('IWP08'!Iwp9dot1DepstInTransit, 0, 0, 1, 1) =DATE(1900,1,0),DATE(1900,1,1),OFFSET('IWP08'!Iwp9dot1DepstInTransit, 0, 0, 1, 1))</f>
        <v>1</v>
      </c>
      <c r="C732" s="166">
        <f ca="1">OFFSET('IWP08'!Iwp9dot1DepstInTransit, 0, 1, 1, 1)</f>
        <v>0</v>
      </c>
      <c r="D732" s="113"/>
    </row>
    <row r="733" spans="1:4">
      <c r="A733" s="160" t="s">
        <v>821</v>
      </c>
      <c r="B733" s="108">
        <f ca="1">IF(OFFSET('IWP08'!Iwp9dot1DepstInTransit, 1, 0, 1, 1) =DATE(1900,1,0),DATE(1900,1,1),OFFSET('IWP08'!Iwp9dot1DepstInTransit, 1, 0, 1, 1))</f>
        <v>1</v>
      </c>
      <c r="C733" s="166">
        <f ca="1">OFFSET('IWP08'!Iwp9dot1DepstInTransit, 1, 1, 1, 1)</f>
        <v>0</v>
      </c>
      <c r="D733" s="113"/>
    </row>
    <row r="734" spans="1:4">
      <c r="A734" s="160" t="s">
        <v>821</v>
      </c>
      <c r="B734" s="108">
        <f ca="1">IF(OFFSET('IWP08'!Iwp9dot1DepstInTransit, 2, 0, 1, 1) =DATE(1900,1,0),DATE(1900,1,1),OFFSET('IWP08'!Iwp9dot1DepstInTransit, 2, 0, 1, 1))</f>
        <v>1</v>
      </c>
      <c r="C734" s="166">
        <f ca="1">OFFSET('IWP08'!Iwp9dot1DepstInTransit, 2, 1, 1, 1)</f>
        <v>0</v>
      </c>
      <c r="D734" s="113"/>
    </row>
    <row r="735" spans="1:4">
      <c r="A735" s="160" t="s">
        <v>821</v>
      </c>
      <c r="B735" s="108">
        <f ca="1">IF(OFFSET('IWP08'!Iwp9dot1DepstInTransit, 3, 0, 1, 1) =DATE(1900,1,0),DATE(1900,1,1),OFFSET('IWP08'!Iwp9dot1DepstInTransit, 3, 0, 1, 1))</f>
        <v>1</v>
      </c>
      <c r="C735" s="166">
        <f ca="1">OFFSET('IWP08'!Iwp9dot1DepstInTransit, 3, 1, 1, 1)</f>
        <v>0</v>
      </c>
      <c r="D735" s="113"/>
    </row>
    <row r="736" spans="1:4">
      <c r="A736" s="160" t="s">
        <v>821</v>
      </c>
      <c r="B736" s="108">
        <f ca="1">IF(OFFSET('IWP08'!Iwp9dot1DepstInTransit, 4, 0, 1, 1) =DATE(1900,1,0),DATE(1900,1,1),OFFSET('IWP08'!Iwp9dot1DepstInTransit, 4, 0, 1, 1))</f>
        <v>1</v>
      </c>
      <c r="C736" s="166">
        <f ca="1">OFFSET('IWP08'!Iwp9dot1DepstInTransit, 4, 1, 1, 1)</f>
        <v>0</v>
      </c>
      <c r="D736" s="113"/>
    </row>
    <row r="737" spans="1:5">
      <c r="A737" s="160" t="s">
        <v>821</v>
      </c>
      <c r="B737" s="108">
        <f ca="1">IF(OFFSET('IWP08'!Iwp9dot1DepstInTransit, 5, 0, 1, 1) =DATE(1900,1,0),DATE(1900,1,1),OFFSET('IWP08'!Iwp9dot1DepstInTransit, 5, 0, 1, 1))</f>
        <v>1</v>
      </c>
      <c r="C737" s="166">
        <f ca="1">OFFSET('IWP08'!Iwp9dot1DepstInTransit, 5, 1, 1, 1)</f>
        <v>0</v>
      </c>
      <c r="D737" s="113"/>
    </row>
    <row r="738" spans="1:5">
      <c r="A738" s="160" t="s">
        <v>821</v>
      </c>
      <c r="B738" s="108">
        <f ca="1">IF(OFFSET('IWP08'!Iwp9dot1DepstInTransit, 6, 0, 1, 1) =DATE(1900,1,0),DATE(1900,1,1),OFFSET('IWP08'!Iwp9dot1DepstInTransit, 6, 0, 1, 1))</f>
        <v>1</v>
      </c>
      <c r="C738" s="166">
        <f ca="1">OFFSET('IWP08'!Iwp9dot1DepstInTransit, 6, 1, 1, 1)</f>
        <v>0</v>
      </c>
      <c r="D738" s="113"/>
    </row>
    <row r="739" spans="1:5">
      <c r="A739" s="160" t="s">
        <v>821</v>
      </c>
      <c r="B739" s="108">
        <f ca="1">IF(OFFSET('IWP08'!Iwp9dot1DepstInTransit, 7, 0, 1, 1) =DATE(1900,1,0),DATE(1900,1,1),OFFSET('IWP08'!Iwp9dot1DepstInTransit, 7, 0, 1, 1))</f>
        <v>1</v>
      </c>
      <c r="C739" s="166">
        <f ca="1">OFFSET('IWP08'!Iwp9dot1DepstInTransit, 7, 1, 1, 1)</f>
        <v>0</v>
      </c>
      <c r="D739" s="113"/>
    </row>
    <row r="740" spans="1:5">
      <c r="A740" s="160" t="s">
        <v>821</v>
      </c>
      <c r="B740" s="108">
        <f ca="1">IF(OFFSET('IWP08'!Iwp9dot1DepstInTransit, 8, 0, 1, 1) =DATE(1900,1,0),DATE(1900,1,1),OFFSET('IWP08'!Iwp9dot1DepstInTransit, 8, 0, 1, 1))</f>
        <v>1</v>
      </c>
      <c r="C740" s="166">
        <f ca="1">OFFSET('IWP08'!Iwp9dot1DepstInTransit, 8, 1, 1, 1)</f>
        <v>0</v>
      </c>
      <c r="D740" s="113"/>
    </row>
    <row r="741" spans="1:5" ht="15" thickBot="1">
      <c r="A741" s="161" t="s">
        <v>821</v>
      </c>
      <c r="B741" s="110">
        <f ca="1">IF(OFFSET('IWP08'!Iwp9dot1DepstInTransit, 9, 0, 1, 1) =DATE(1900,1,0),DATE(1900,1,1),OFFSET('IWP08'!Iwp9dot1DepstInTransit, 9, 0, 1, 1))</f>
        <v>1</v>
      </c>
      <c r="C741" s="167">
        <f ca="1">OFFSET('IWP08'!Iwp9dot1DepstInTransit, 9, 1, 1, 1)</f>
        <v>0</v>
      </c>
      <c r="D741" s="113"/>
    </row>
    <row r="742" spans="1:5">
      <c r="B742" s="112"/>
      <c r="C742" s="108"/>
      <c r="D742" s="113"/>
    </row>
    <row r="743" spans="1:5" ht="15" thickBot="1">
      <c r="A743" t="s">
        <v>889</v>
      </c>
    </row>
    <row r="744" spans="1:5" s="95" customFormat="1">
      <c r="A744" s="96" t="s">
        <v>725</v>
      </c>
      <c r="B744" s="97" t="s">
        <v>822</v>
      </c>
      <c r="C744" s="97" t="s">
        <v>151</v>
      </c>
      <c r="D744" s="97" t="s">
        <v>314</v>
      </c>
      <c r="E744" s="98" t="s">
        <v>315</v>
      </c>
    </row>
    <row r="745" spans="1:5">
      <c r="A745" s="160" t="s">
        <v>747</v>
      </c>
      <c r="B745" s="108">
        <f ca="1">IF(OFFSET('IWP01'!Std10dot3Deposits, 0, 0, 1, 1) =DATE(1900,1,0),DATE(1900,1,1),OFFSET('IWP01'!Std10dot3Deposits, 0, 0, 1, 1))</f>
        <v>1</v>
      </c>
      <c r="C745" s="116">
        <f ca="1">OFFSET('IWP01'!Std10dot3Deposits, 0, 2, 1, 1)</f>
        <v>0</v>
      </c>
      <c r="D745" s="159" t="str">
        <f ca="1">IF(OFFSET('IWP01'!Std10dot3Deposits, 0, 4, 1, 1) = 0, "", OFFSET('IWP01'!Std10dot3Deposits, 0, 4, 1, 1))</f>
        <v/>
      </c>
      <c r="E745" s="164" t="str">
        <f ca="1">IF(OFFSET('IWP01'!Std10dot3Deposits, 0, 7, 1, 1) = 0, "", OFFSET('IWP01'!Std10dot3Deposits, 0, 7, 1, 1))</f>
        <v/>
      </c>
    </row>
    <row r="746" spans="1:5">
      <c r="A746" s="160" t="s">
        <v>747</v>
      </c>
      <c r="B746" s="108">
        <f ca="1">IF(OFFSET('IWP01'!Std10dot3Deposits, 1, 0, 1, 1) =DATE(1900,1,0),DATE(1900,1,1),OFFSET('IWP01'!Std10dot3Deposits, 1, 0, 1, 1))</f>
        <v>1</v>
      </c>
      <c r="C746" s="116">
        <f ca="1">OFFSET('IWP01'!Std10dot3Deposits, 1, 2, 1, 1)</f>
        <v>0</v>
      </c>
      <c r="D746" s="159" t="str">
        <f ca="1">IF(OFFSET('IWP01'!Std10dot3Deposits, 1, 4, 1, 1) = 0, "", OFFSET('IWP01'!Std10dot3Deposits, 1, 4, 1, 1))</f>
        <v/>
      </c>
      <c r="E746" s="164" t="str">
        <f ca="1">IF(OFFSET('IWP01'!Std10dot3Deposits, 1, 7, 1, 1) = 0, "", OFFSET('IWP01'!Std10dot3Deposits, 1, 7, 1, 1))</f>
        <v/>
      </c>
    </row>
    <row r="747" spans="1:5">
      <c r="A747" s="160" t="s">
        <v>747</v>
      </c>
      <c r="B747" s="108">
        <f ca="1">IF(OFFSET('IWP01'!Std10dot3Deposits, 2, 0, 1, 1) =DATE(1900,1,0),DATE(1900,1,1),OFFSET('IWP01'!Std10dot3Deposits, 2, 0, 1, 1))</f>
        <v>1</v>
      </c>
      <c r="C747" s="116">
        <f ca="1">OFFSET('IWP01'!Std10dot3Deposits, 2, 2, 1, 1)</f>
        <v>0</v>
      </c>
      <c r="D747" s="159" t="str">
        <f ca="1">IF(OFFSET('IWP01'!Std10dot3Deposits, 2, 4, 1, 1) = 0, "", OFFSET('IWP01'!Std10dot3Deposits, 2, 4, 1, 1))</f>
        <v/>
      </c>
      <c r="E747" s="164" t="str">
        <f ca="1">IF(OFFSET('IWP01'!Std10dot3Deposits, 2, 7, 1, 1) = 0, "", OFFSET('IWP01'!Std10dot3Deposits, 2, 7, 1, 1))</f>
        <v/>
      </c>
    </row>
    <row r="748" spans="1:5">
      <c r="A748" s="160" t="s">
        <v>747</v>
      </c>
      <c r="B748" s="108">
        <f ca="1">IF(OFFSET('IWP01'!Std10dot3Deposits, 3, 0, 1, 1) =DATE(1900,1,0),DATE(1900,1,1),OFFSET('IWP01'!Std10dot3Deposits, 3, 0, 1, 1))</f>
        <v>1</v>
      </c>
      <c r="C748" s="116">
        <f ca="1">OFFSET('IWP01'!Std10dot3Deposits, 3, 2, 1, 1)</f>
        <v>0</v>
      </c>
      <c r="D748" s="159" t="str">
        <f ca="1">IF(OFFSET('IWP01'!Std10dot3Deposits, 3, 4, 1, 1) = 0, "", OFFSET('IWP01'!Std10dot3Deposits, 3, 4, 1, 1))</f>
        <v/>
      </c>
      <c r="E748" s="164" t="str">
        <f ca="1">IF(OFFSET('IWP01'!Std10dot3Deposits, 3, 7, 1, 1) = 0, "", OFFSET('IWP01'!Std10dot3Deposits, 3, 7, 1, 1))</f>
        <v/>
      </c>
    </row>
    <row r="749" spans="1:5">
      <c r="A749" s="160" t="s">
        <v>747</v>
      </c>
      <c r="B749" s="108">
        <f ca="1">IF(OFFSET('IWP01'!Std10dot3Deposits, 4, 0, 1, 1) =DATE(1900,1,0),DATE(1900,1,1),OFFSET('IWP01'!Std10dot3Deposits, 4, 0, 1, 1))</f>
        <v>1</v>
      </c>
      <c r="C749" s="116">
        <f ca="1">OFFSET('IWP01'!Std10dot3Deposits, 4, 2, 1, 1)</f>
        <v>0</v>
      </c>
      <c r="D749" s="159" t="str">
        <f ca="1">IF(OFFSET('IWP01'!Std10dot3Deposits, 4, 4, 1, 1) = 0, "", OFFSET('IWP01'!Std10dot3Deposits, 4, 4, 1, 1))</f>
        <v/>
      </c>
      <c r="E749" s="164" t="str">
        <f ca="1">IF(OFFSET('IWP01'!Std10dot3Deposits, 4, 7, 1, 1) = 0, "", OFFSET('IWP01'!Std10dot3Deposits, 4, 7, 1, 1))</f>
        <v/>
      </c>
    </row>
    <row r="750" spans="1:5">
      <c r="A750" s="160" t="s">
        <v>747</v>
      </c>
      <c r="B750" s="108">
        <f ca="1">IF(OFFSET('IWP01'!Std10dot3Deposits, 5, 0, 1, 1) =DATE(1900,1,0),DATE(1900,1,1),OFFSET('IWP01'!Std10dot3Deposits, 5, 0, 1, 1))</f>
        <v>1</v>
      </c>
      <c r="C750" s="116">
        <f ca="1">OFFSET('IWP01'!Std10dot3Deposits, 5, 2, 1, 1)</f>
        <v>0</v>
      </c>
      <c r="D750" s="159" t="str">
        <f ca="1">IF(OFFSET('IWP01'!Std10dot3Deposits, 5, 4, 1, 1) = 0, "", OFFSET('IWP01'!Std10dot3Deposits, 5, 4, 1, 1))</f>
        <v/>
      </c>
      <c r="E750" s="164" t="str">
        <f ca="1">IF(OFFSET('IWP01'!Std10dot3Deposits, 5, 7, 1, 1) = 0, "", OFFSET('IWP01'!Std10dot3Deposits, 5, 7, 1, 1))</f>
        <v/>
      </c>
    </row>
    <row r="751" spans="1:5">
      <c r="A751" s="160" t="s">
        <v>747</v>
      </c>
      <c r="B751" s="108">
        <f ca="1">IF(OFFSET('IWP01'!Std10dot3Deposits, 6, 0, 1, 1) =DATE(1900,1,0),DATE(1900,1,1),OFFSET('IWP01'!Std10dot3Deposits, 6, 0, 1, 1))</f>
        <v>1</v>
      </c>
      <c r="C751" s="116">
        <f ca="1">OFFSET('IWP01'!Std10dot3Deposits, 6, 2, 1, 1)</f>
        <v>0</v>
      </c>
      <c r="D751" s="159" t="str">
        <f ca="1">IF(OFFSET('IWP01'!Std10dot3Deposits, 6, 4, 1, 1) = 0, "", OFFSET('IWP01'!Std10dot3Deposits, 6, 4, 1, 1))</f>
        <v/>
      </c>
      <c r="E751" s="164" t="str">
        <f ca="1">IF(OFFSET('IWP01'!Std10dot3Deposits, 6, 7, 1, 1) = 0, "", OFFSET('IWP01'!Std10dot3Deposits, 6, 7, 1, 1))</f>
        <v/>
      </c>
    </row>
    <row r="752" spans="1:5">
      <c r="A752" s="160" t="s">
        <v>747</v>
      </c>
      <c r="B752" s="108">
        <f ca="1">IF(OFFSET('IWP01'!Std10dot3Deposits, 7, 0, 1, 1) =DATE(1900,1,0),DATE(1900,1,1),OFFSET('IWP01'!Std10dot3Deposits, 7, 0, 1, 1))</f>
        <v>1</v>
      </c>
      <c r="C752" s="116">
        <f ca="1">OFFSET('IWP01'!Std10dot3Deposits, 7, 2, 1, 1)</f>
        <v>0</v>
      </c>
      <c r="D752" s="159" t="str">
        <f ca="1">IF(OFFSET('IWP01'!Std10dot3Deposits, 7, 4, 1, 1) = 0, "", OFFSET('IWP01'!Std10dot3Deposits, 7, 4, 1, 1))</f>
        <v/>
      </c>
      <c r="E752" s="164" t="str">
        <f ca="1">IF(OFFSET('IWP01'!Std10dot3Deposits, 7, 7, 1, 1) = 0, "", OFFSET('IWP01'!Std10dot3Deposits, 7, 7, 1, 1))</f>
        <v/>
      </c>
    </row>
    <row r="753" spans="1:5">
      <c r="A753" s="160" t="s">
        <v>747</v>
      </c>
      <c r="B753" s="108">
        <f ca="1">IF(OFFSET('IWP01'!Std10dot3Deposits, 8, 0, 1, 1) =DATE(1900,1,0),DATE(1900,1,1),OFFSET('IWP01'!Std10dot3Deposits, 8, 0, 1, 1))</f>
        <v>1</v>
      </c>
      <c r="C753" s="116">
        <f ca="1">OFFSET('IWP01'!Std10dot3Deposits, 8, 2, 1, 1)</f>
        <v>0</v>
      </c>
      <c r="D753" s="159" t="str">
        <f ca="1">IF(OFFSET('IWP01'!Std10dot3Deposits, 8, 4, 1, 1) = 0, "", OFFSET('IWP01'!Std10dot3Deposits, 8, 4, 1, 1))</f>
        <v/>
      </c>
      <c r="E753" s="164" t="str">
        <f ca="1">IF(OFFSET('IWP01'!Std10dot3Deposits, 8, 7, 1, 1) = 0, "", OFFSET('IWP01'!Std10dot3Deposits, 8, 7, 1, 1))</f>
        <v/>
      </c>
    </row>
    <row r="754" spans="1:5">
      <c r="A754" s="160" t="s">
        <v>747</v>
      </c>
      <c r="B754" s="108">
        <f ca="1">IF(OFFSET('IWP01'!Std10dot3Deposits, 9, 0, 1, 1) =DATE(1900,1,0),DATE(1900,1,1),OFFSET('IWP01'!Std10dot3Deposits, 9, 0, 1, 1))</f>
        <v>1</v>
      </c>
      <c r="C754" s="116">
        <f ca="1">OFFSET('IWP01'!Std10dot3Deposits, 9, 2, 1, 1)</f>
        <v>0</v>
      </c>
      <c r="D754" s="159" t="str">
        <f ca="1">IF(OFFSET('IWP01'!Std10dot3Deposits, 9, 4, 1, 1) = 0, "", OFFSET('IWP01'!Std10dot3Deposits, 9, 4, 1, 1))</f>
        <v/>
      </c>
      <c r="E754" s="164" t="str">
        <f ca="1">IF(OFFSET('IWP01'!Std10dot3Deposits, 9, 7, 1, 1) = 0, "", OFFSET('IWP01'!Std10dot3Deposits, 9, 7, 1, 1))</f>
        <v/>
      </c>
    </row>
    <row r="755" spans="1:5">
      <c r="A755" s="160" t="s">
        <v>748</v>
      </c>
      <c r="B755" s="108">
        <f ca="1">IF(OFFSET('IWP02'!Std10dot3Deposits, 0, 0, 1, 1) =DATE(1900,1,0),DATE(1900,1,1),OFFSET('IWP02'!Std10dot3Deposits, 0, 0, 1, 1))</f>
        <v>1</v>
      </c>
      <c r="C755" s="116">
        <f ca="1">OFFSET('IWP02'!Std10dot3Deposits, 0, 2, 1, 1)</f>
        <v>0</v>
      </c>
      <c r="D755" s="159" t="str">
        <f ca="1">IF(OFFSET('IWP02'!Std10dot3Deposits, 0, 4, 1, 1) = 0, "", OFFSET('IWP02'!Std10dot3Deposits, 0, 4, 1, 1))</f>
        <v/>
      </c>
      <c r="E755" s="164" t="str">
        <f ca="1">IF(OFFSET('IWP02'!Std10dot3Deposits, 0, 7, 1, 1) = 0, "", OFFSET('IWP02'!Std10dot3Deposits, 0, 7, 1, 1))</f>
        <v/>
      </c>
    </row>
    <row r="756" spans="1:5">
      <c r="A756" s="160" t="s">
        <v>748</v>
      </c>
      <c r="B756" s="108">
        <f ca="1">IF(OFFSET('IWP02'!Std10dot3Deposits, 1, 0, 1, 1) =DATE(1900,1,0),DATE(1900,1,1),OFFSET('IWP02'!Std10dot3Deposits, 1, 0, 1, 1))</f>
        <v>1</v>
      </c>
      <c r="C756" s="116">
        <f ca="1">OFFSET('IWP02'!Std10dot3Deposits, 1, 2, 1, 1)</f>
        <v>0</v>
      </c>
      <c r="D756" s="159" t="str">
        <f ca="1">IF(OFFSET('IWP02'!Std10dot3Deposits, 1, 4, 1, 1) = 0, "", OFFSET('IWP02'!Std10dot3Deposits, 1, 4, 1, 1))</f>
        <v/>
      </c>
      <c r="E756" s="164" t="str">
        <f ca="1">IF(OFFSET('IWP02'!Std10dot3Deposits, 1, 7, 1, 1) = 0, "", OFFSET('IWP02'!Std10dot3Deposits, 1, 7, 1, 1))</f>
        <v/>
      </c>
    </row>
    <row r="757" spans="1:5">
      <c r="A757" s="160" t="s">
        <v>748</v>
      </c>
      <c r="B757" s="108">
        <f ca="1">IF(OFFSET('IWP02'!Std10dot3Deposits, 2, 0, 1, 1) =DATE(1900,1,0),DATE(1900,1,1),OFFSET('IWP02'!Std10dot3Deposits, 2, 0, 1, 1))</f>
        <v>1</v>
      </c>
      <c r="C757" s="116">
        <f ca="1">OFFSET('IWP02'!Std10dot3Deposits, 2, 2, 1, 1)</f>
        <v>0</v>
      </c>
      <c r="D757" s="159" t="str">
        <f ca="1">IF(OFFSET('IWP02'!Std10dot3Deposits, 2, 4, 1, 1) = 0, "", OFFSET('IWP02'!Std10dot3Deposits, 2, 4, 1, 1))</f>
        <v/>
      </c>
      <c r="E757" s="164" t="str">
        <f ca="1">IF(OFFSET('IWP02'!Std10dot3Deposits, 2, 7, 1, 1) = 0, "", OFFSET('IWP02'!Std10dot3Deposits, 2, 7, 1, 1))</f>
        <v/>
      </c>
    </row>
    <row r="758" spans="1:5">
      <c r="A758" s="160" t="s">
        <v>748</v>
      </c>
      <c r="B758" s="108">
        <f ca="1">IF(OFFSET('IWP02'!Std10dot3Deposits, 3, 0, 1, 1) =DATE(1900,1,0),DATE(1900,1,1),OFFSET('IWP02'!Std10dot3Deposits, 3, 0, 1, 1))</f>
        <v>1</v>
      </c>
      <c r="C758" s="116">
        <f ca="1">OFFSET('IWP02'!Std10dot3Deposits, 3, 2, 1, 1)</f>
        <v>0</v>
      </c>
      <c r="D758" s="159" t="str">
        <f ca="1">IF(OFFSET('IWP02'!Std10dot3Deposits, 3, 4, 1, 1) = 0, "", OFFSET('IWP02'!Std10dot3Deposits, 3, 4, 1, 1))</f>
        <v/>
      </c>
      <c r="E758" s="164" t="str">
        <f ca="1">IF(OFFSET('IWP02'!Std10dot3Deposits, 3, 7, 1, 1) = 0, "", OFFSET('IWP02'!Std10dot3Deposits, 3, 7, 1, 1))</f>
        <v/>
      </c>
    </row>
    <row r="759" spans="1:5">
      <c r="A759" s="160" t="s">
        <v>748</v>
      </c>
      <c r="B759" s="108">
        <f ca="1">IF(OFFSET('IWP02'!Std10dot3Deposits, 4, 0, 1, 1) =DATE(1900,1,0),DATE(1900,1,1),OFFSET('IWP02'!Std10dot3Deposits, 4, 0, 1, 1))</f>
        <v>1</v>
      </c>
      <c r="C759" s="116">
        <f ca="1">OFFSET('IWP02'!Std10dot3Deposits, 4, 2, 1, 1)</f>
        <v>0</v>
      </c>
      <c r="D759" s="159" t="str">
        <f ca="1">IF(OFFSET('IWP02'!Std10dot3Deposits, 4, 4, 1, 1) = 0, "", OFFSET('IWP02'!Std10dot3Deposits, 4, 4, 1, 1))</f>
        <v/>
      </c>
      <c r="E759" s="164" t="str">
        <f ca="1">IF(OFFSET('IWP02'!Std10dot3Deposits, 4, 7, 1, 1) = 0, "", OFFSET('IWP02'!Std10dot3Deposits, 4, 7, 1, 1))</f>
        <v/>
      </c>
    </row>
    <row r="760" spans="1:5">
      <c r="A760" s="160" t="s">
        <v>748</v>
      </c>
      <c r="B760" s="108">
        <f ca="1">IF(OFFSET('IWP02'!Std10dot3Deposits, 5, 0, 1, 1) =DATE(1900,1,0),DATE(1900,1,1),OFFSET('IWP02'!Std10dot3Deposits, 5, 0, 1, 1))</f>
        <v>1</v>
      </c>
      <c r="C760" s="116">
        <f ca="1">OFFSET('IWP02'!Std10dot3Deposits, 5, 2, 1, 1)</f>
        <v>0</v>
      </c>
      <c r="D760" s="159" t="str">
        <f ca="1">IF(OFFSET('IWP02'!Std10dot3Deposits, 5, 4, 1, 1) = 0, "", OFFSET('IWP02'!Std10dot3Deposits, 5, 4, 1, 1))</f>
        <v/>
      </c>
      <c r="E760" s="164" t="str">
        <f ca="1">IF(OFFSET('IWP02'!Std10dot3Deposits, 5, 7, 1, 1) = 0, "", OFFSET('IWP02'!Std10dot3Deposits, 5, 7, 1, 1))</f>
        <v/>
      </c>
    </row>
    <row r="761" spans="1:5">
      <c r="A761" s="160" t="s">
        <v>748</v>
      </c>
      <c r="B761" s="108">
        <f ca="1">IF(OFFSET('IWP02'!Std10dot3Deposits, 6, 0, 1, 1) =DATE(1900,1,0),DATE(1900,1,1),OFFSET('IWP02'!Std10dot3Deposits, 6, 0, 1, 1))</f>
        <v>1</v>
      </c>
      <c r="C761" s="116">
        <f ca="1">OFFSET('IWP02'!Std10dot3Deposits, 6, 2, 1, 1)</f>
        <v>0</v>
      </c>
      <c r="D761" s="159" t="str">
        <f ca="1">IF(OFFSET('IWP02'!Std10dot3Deposits, 6, 4, 1, 1) = 0, "", OFFSET('IWP02'!Std10dot3Deposits, 6, 4, 1, 1))</f>
        <v/>
      </c>
      <c r="E761" s="164" t="str">
        <f ca="1">IF(OFFSET('IWP02'!Std10dot3Deposits, 6, 7, 1, 1) = 0, "", OFFSET('IWP02'!Std10dot3Deposits, 6, 7, 1, 1))</f>
        <v/>
      </c>
    </row>
    <row r="762" spans="1:5">
      <c r="A762" s="160" t="s">
        <v>748</v>
      </c>
      <c r="B762" s="108">
        <f ca="1">IF(OFFSET('IWP02'!Std10dot3Deposits, 7, 0, 1, 1) =DATE(1900,1,0),DATE(1900,1,1),OFFSET('IWP02'!Std10dot3Deposits, 7, 0, 1, 1))</f>
        <v>1</v>
      </c>
      <c r="C762" s="116">
        <f ca="1">OFFSET('IWP02'!Std10dot3Deposits, 7, 2, 1, 1)</f>
        <v>0</v>
      </c>
      <c r="D762" s="159" t="str">
        <f ca="1">IF(OFFSET('IWP02'!Std10dot3Deposits, 7, 4, 1, 1) = 0, "", OFFSET('IWP02'!Std10dot3Deposits, 7, 4, 1, 1))</f>
        <v/>
      </c>
      <c r="E762" s="164" t="str">
        <f ca="1">IF(OFFSET('IWP02'!Std10dot3Deposits, 7, 7, 1, 1) = 0, "", OFFSET('IWP02'!Std10dot3Deposits, 7, 7, 1, 1))</f>
        <v/>
      </c>
    </row>
    <row r="763" spans="1:5">
      <c r="A763" s="160" t="s">
        <v>748</v>
      </c>
      <c r="B763" s="108">
        <f ca="1">IF(OFFSET('IWP02'!Std10dot3Deposits, 8, 0, 1, 1) =DATE(1900,1,0),DATE(1900,1,1),OFFSET('IWP02'!Std10dot3Deposits, 8, 0, 1, 1))</f>
        <v>1</v>
      </c>
      <c r="C763" s="116">
        <f ca="1">OFFSET('IWP02'!Std10dot3Deposits, 8, 2, 1, 1)</f>
        <v>0</v>
      </c>
      <c r="D763" s="159" t="str">
        <f ca="1">IF(OFFSET('IWP02'!Std10dot3Deposits, 8, 4, 1, 1) = 0, "", OFFSET('IWP02'!Std10dot3Deposits, 8, 4, 1, 1))</f>
        <v/>
      </c>
      <c r="E763" s="164" t="str">
        <f ca="1">IF(OFFSET('IWP02'!Std10dot3Deposits, 8, 7, 1, 1) = 0, "", OFFSET('IWP02'!Std10dot3Deposits, 8, 7, 1, 1))</f>
        <v/>
      </c>
    </row>
    <row r="764" spans="1:5">
      <c r="A764" s="160" t="s">
        <v>748</v>
      </c>
      <c r="B764" s="108">
        <f ca="1">IF(OFFSET('IWP02'!Std10dot3Deposits, 9, 0, 1, 1) =DATE(1900,1,0),DATE(1900,1,1),OFFSET('IWP02'!Std10dot3Deposits, 9, 0, 1, 1))</f>
        <v>1</v>
      </c>
      <c r="C764" s="116">
        <f ca="1">OFFSET('IWP02'!Std10dot3Deposits, 9, 2, 1, 1)</f>
        <v>0</v>
      </c>
      <c r="D764" s="159" t="str">
        <f ca="1">IF(OFFSET('IWP02'!Std10dot3Deposits, 9, 4, 1, 1) = 0, "", OFFSET('IWP02'!Std10dot3Deposits, 9, 4, 1, 1))</f>
        <v/>
      </c>
      <c r="E764" s="164" t="str">
        <f ca="1">IF(OFFSET('IWP02'!Std10dot3Deposits, 9, 7, 1, 1) = 0, "", OFFSET('IWP02'!Std10dot3Deposits, 9, 7, 1, 1))</f>
        <v/>
      </c>
    </row>
    <row r="765" spans="1:5">
      <c r="A765" s="160" t="s">
        <v>749</v>
      </c>
      <c r="B765" s="108">
        <f ca="1">IF(OFFSET('IWP03'!Std10dot3Deposits, 0, 0, 1, 1) =DATE(1900,1,0),DATE(1900,1,1),OFFSET('IWP03'!Std10dot3Deposits, 0, 0, 1, 1))</f>
        <v>1</v>
      </c>
      <c r="C765" s="116">
        <f ca="1">OFFSET('IWP03'!Std10dot3Deposits, 0, 2, 1, 1)</f>
        <v>0</v>
      </c>
      <c r="D765" s="159" t="str">
        <f ca="1">IF(OFFSET('IWP03'!Std10dot3Deposits, 0, 4, 1, 1) = 0, "", OFFSET('IWP03'!Std10dot3Deposits, 0, 4, 1, 1))</f>
        <v/>
      </c>
      <c r="E765" s="164" t="str">
        <f ca="1">IF(OFFSET('IWP03'!Std10dot3Deposits, 0, 7, 1, 1) = 0, "", OFFSET('IWP03'!Std10dot3Deposits, 0, 7, 1, 1))</f>
        <v/>
      </c>
    </row>
    <row r="766" spans="1:5">
      <c r="A766" s="160" t="s">
        <v>749</v>
      </c>
      <c r="B766" s="108">
        <f ca="1">IF(OFFSET('IWP03'!Std10dot3Deposits, 1, 0, 1, 1) =DATE(1900,1,0),DATE(1900,1,1),OFFSET('IWP03'!Std10dot3Deposits, 1, 0, 1, 1))</f>
        <v>1</v>
      </c>
      <c r="C766" s="116">
        <f ca="1">OFFSET('IWP03'!Std10dot3Deposits, 1, 2, 1, 1)</f>
        <v>0</v>
      </c>
      <c r="D766" s="159" t="str">
        <f ca="1">IF(OFFSET('IWP03'!Std10dot3Deposits, 1, 4, 1, 1) = 0, "", OFFSET('IWP03'!Std10dot3Deposits, 1, 4, 1, 1))</f>
        <v/>
      </c>
      <c r="E766" s="164" t="str">
        <f ca="1">IF(OFFSET('IWP03'!Std10dot3Deposits, 1, 7, 1, 1) = 0, "", OFFSET('IWP03'!Std10dot3Deposits, 1, 7, 1, 1))</f>
        <v/>
      </c>
    </row>
    <row r="767" spans="1:5">
      <c r="A767" s="160" t="s">
        <v>749</v>
      </c>
      <c r="B767" s="108">
        <f ca="1">IF(OFFSET('IWP03'!Std10dot3Deposits, 2, 0, 1, 1) =DATE(1900,1,0),DATE(1900,1,1),OFFSET('IWP03'!Std10dot3Deposits, 2, 0, 1, 1))</f>
        <v>1</v>
      </c>
      <c r="C767" s="116">
        <f ca="1">OFFSET('IWP03'!Std10dot3Deposits, 2, 2, 1, 1)</f>
        <v>0</v>
      </c>
      <c r="D767" s="159" t="str">
        <f ca="1">IF(OFFSET('IWP03'!Std10dot3Deposits, 2, 4, 1, 1) = 0, "", OFFSET('IWP03'!Std10dot3Deposits, 2, 4, 1, 1))</f>
        <v/>
      </c>
      <c r="E767" s="164" t="str">
        <f ca="1">IF(OFFSET('IWP03'!Std10dot3Deposits, 2, 7, 1, 1) = 0, "", OFFSET('IWP03'!Std10dot3Deposits, 2, 7, 1, 1))</f>
        <v/>
      </c>
    </row>
    <row r="768" spans="1:5">
      <c r="A768" s="160" t="s">
        <v>749</v>
      </c>
      <c r="B768" s="108">
        <f ca="1">IF(OFFSET('IWP03'!Std10dot3Deposits, 3, 0, 1, 1) =DATE(1900,1,0),DATE(1900,1,1),OFFSET('IWP03'!Std10dot3Deposits, 3, 0, 1, 1))</f>
        <v>1</v>
      </c>
      <c r="C768" s="116">
        <f ca="1">OFFSET('IWP03'!Std10dot3Deposits, 3, 2, 1, 1)</f>
        <v>0</v>
      </c>
      <c r="D768" s="159" t="str">
        <f ca="1">IF(OFFSET('IWP03'!Std10dot3Deposits, 3, 4, 1, 1) = 0, "", OFFSET('IWP03'!Std10dot3Deposits, 3, 4, 1, 1))</f>
        <v/>
      </c>
      <c r="E768" s="164" t="str">
        <f ca="1">IF(OFFSET('IWP03'!Std10dot3Deposits, 3, 7, 1, 1) = 0, "", OFFSET('IWP03'!Std10dot3Deposits, 3, 7, 1, 1))</f>
        <v/>
      </c>
    </row>
    <row r="769" spans="1:5">
      <c r="A769" s="160" t="s">
        <v>749</v>
      </c>
      <c r="B769" s="108">
        <f ca="1">IF(OFFSET('IWP03'!Std10dot3Deposits, 4, 0, 1, 1) =DATE(1900,1,0),DATE(1900,1,1),OFFSET('IWP03'!Std10dot3Deposits, 4, 0, 1, 1))</f>
        <v>1</v>
      </c>
      <c r="C769" s="116">
        <f ca="1">OFFSET('IWP03'!Std10dot3Deposits, 4, 2, 1, 1)</f>
        <v>0</v>
      </c>
      <c r="D769" s="159" t="str">
        <f ca="1">IF(OFFSET('IWP03'!Std10dot3Deposits, 4, 4, 1, 1) = 0, "", OFFSET('IWP03'!Std10dot3Deposits, 4, 4, 1, 1))</f>
        <v/>
      </c>
      <c r="E769" s="164" t="str">
        <f ca="1">IF(OFFSET('IWP03'!Std10dot3Deposits, 4, 7, 1, 1) = 0, "", OFFSET('IWP03'!Std10dot3Deposits, 4, 7, 1, 1))</f>
        <v/>
      </c>
    </row>
    <row r="770" spans="1:5">
      <c r="A770" s="160" t="s">
        <v>749</v>
      </c>
      <c r="B770" s="108">
        <f ca="1">IF(OFFSET('IWP03'!Std10dot3Deposits, 5, 0, 1, 1) =DATE(1900,1,0),DATE(1900,1,1),OFFSET('IWP03'!Std10dot3Deposits, 5, 0, 1, 1))</f>
        <v>1</v>
      </c>
      <c r="C770" s="116">
        <f ca="1">OFFSET('IWP03'!Std10dot3Deposits, 5, 2, 1, 1)</f>
        <v>0</v>
      </c>
      <c r="D770" s="159" t="str">
        <f ca="1">IF(OFFSET('IWP03'!Std10dot3Deposits, 5, 4, 1, 1) = 0, "", OFFSET('IWP03'!Std10dot3Deposits, 5, 4, 1, 1))</f>
        <v/>
      </c>
      <c r="E770" s="164" t="str">
        <f ca="1">IF(OFFSET('IWP03'!Std10dot3Deposits, 5, 7, 1, 1) = 0, "", OFFSET('IWP03'!Std10dot3Deposits, 5, 7, 1, 1))</f>
        <v/>
      </c>
    </row>
    <row r="771" spans="1:5">
      <c r="A771" s="160" t="s">
        <v>749</v>
      </c>
      <c r="B771" s="108">
        <f ca="1">IF(OFFSET('IWP03'!Std10dot3Deposits, 6, 0, 1, 1) =DATE(1900,1,0),DATE(1900,1,1),OFFSET('IWP03'!Std10dot3Deposits, 6, 0, 1, 1))</f>
        <v>1</v>
      </c>
      <c r="C771" s="116">
        <f ca="1">OFFSET('IWP03'!Std10dot3Deposits, 6, 2, 1, 1)</f>
        <v>0</v>
      </c>
      <c r="D771" s="159" t="str">
        <f ca="1">IF(OFFSET('IWP03'!Std10dot3Deposits, 6, 4, 1, 1) = 0, "", OFFSET('IWP03'!Std10dot3Deposits, 6, 4, 1, 1))</f>
        <v/>
      </c>
      <c r="E771" s="164" t="str">
        <f ca="1">IF(OFFSET('IWP03'!Std10dot3Deposits, 6, 7, 1, 1) = 0, "", OFFSET('IWP03'!Std10dot3Deposits, 6, 7, 1, 1))</f>
        <v/>
      </c>
    </row>
    <row r="772" spans="1:5">
      <c r="A772" s="160" t="s">
        <v>749</v>
      </c>
      <c r="B772" s="108">
        <f ca="1">IF(OFFSET('IWP03'!Std10dot3Deposits, 7, 0, 1, 1) =DATE(1900,1,0),DATE(1900,1,1),OFFSET('IWP03'!Std10dot3Deposits, 7, 0, 1, 1))</f>
        <v>1</v>
      </c>
      <c r="C772" s="116">
        <f ca="1">OFFSET('IWP03'!Std10dot3Deposits, 7, 2, 1, 1)</f>
        <v>0</v>
      </c>
      <c r="D772" s="159" t="str">
        <f ca="1">IF(OFFSET('IWP03'!Std10dot3Deposits, 7, 4, 1, 1) = 0, "", OFFSET('IWP03'!Std10dot3Deposits, 7, 4, 1, 1))</f>
        <v/>
      </c>
      <c r="E772" s="164" t="str">
        <f ca="1">IF(OFFSET('IWP03'!Std10dot3Deposits, 7, 7, 1, 1) = 0, "", OFFSET('IWP03'!Std10dot3Deposits, 7, 7, 1, 1))</f>
        <v/>
      </c>
    </row>
    <row r="773" spans="1:5">
      <c r="A773" s="160" t="s">
        <v>749</v>
      </c>
      <c r="B773" s="108">
        <f ca="1">IF(OFFSET('IWP03'!Std10dot3Deposits, 8, 0, 1, 1) =DATE(1900,1,0),DATE(1900,1,1),OFFSET('IWP03'!Std10dot3Deposits, 8, 0, 1, 1))</f>
        <v>1</v>
      </c>
      <c r="C773" s="116">
        <f ca="1">OFFSET('IWP03'!Std10dot3Deposits, 8, 2, 1, 1)</f>
        <v>0</v>
      </c>
      <c r="D773" s="159" t="str">
        <f ca="1">IF(OFFSET('IWP03'!Std10dot3Deposits, 8, 4, 1, 1) = 0, "", OFFSET('IWP03'!Std10dot3Deposits, 8, 4, 1, 1))</f>
        <v/>
      </c>
      <c r="E773" s="164" t="str">
        <f ca="1">IF(OFFSET('IWP03'!Std10dot3Deposits, 8, 7, 1, 1) = 0, "", OFFSET('IWP03'!Std10dot3Deposits, 8, 7, 1, 1))</f>
        <v/>
      </c>
    </row>
    <row r="774" spans="1:5">
      <c r="A774" s="160" t="s">
        <v>749</v>
      </c>
      <c r="B774" s="108">
        <f ca="1">IF(OFFSET('IWP03'!Std10dot3Deposits, 9, 0, 1, 1) =DATE(1900,1,0),DATE(1900,1,1),OFFSET('IWP03'!Std10dot3Deposits, 9, 0, 1, 1))</f>
        <v>1</v>
      </c>
      <c r="C774" s="116">
        <f ca="1">OFFSET('IWP03'!Std10dot3Deposits, 9, 2, 1, 1)</f>
        <v>0</v>
      </c>
      <c r="D774" s="159" t="str">
        <f ca="1">IF(OFFSET('IWP03'!Std10dot3Deposits, 9, 4, 1, 1) = 0, "", OFFSET('IWP03'!Std10dot3Deposits, 9, 4, 1, 1))</f>
        <v/>
      </c>
      <c r="E774" s="164" t="str">
        <f ca="1">IF(OFFSET('IWP03'!Std10dot3Deposits, 9, 7, 1, 1) = 0, "", OFFSET('IWP03'!Std10dot3Deposits, 9, 7, 1, 1))</f>
        <v/>
      </c>
    </row>
    <row r="775" spans="1:5">
      <c r="A775" s="160" t="s">
        <v>817</v>
      </c>
      <c r="B775" s="108">
        <f ca="1">IF(OFFSET('IWP04'!Std10dot3Deposits, 0, 0, 1, 1) =DATE(1900,1,0),DATE(1900,1,1),OFFSET('IWP04'!Std10dot3Deposits, 0, 0, 1, 1))</f>
        <v>1</v>
      </c>
      <c r="C775" s="116">
        <f ca="1">OFFSET('IWP04'!Std10dot3Deposits, 0, 2, 1, 1)</f>
        <v>0</v>
      </c>
      <c r="D775" s="159" t="str">
        <f ca="1">IF(OFFSET('IWP04'!Std10dot3Deposits, 0, 4, 1, 1) = 0, "", OFFSET('IWP04'!Std10dot3Deposits, 0, 4, 1, 1))</f>
        <v/>
      </c>
      <c r="E775" s="164" t="str">
        <f ca="1">IF(OFFSET('IWP04'!Std10dot3Deposits, 0, 7, 1, 1) = 0, "", OFFSET('IWP04'!Std10dot3Deposits, 0, 7, 1, 1))</f>
        <v/>
      </c>
    </row>
    <row r="776" spans="1:5">
      <c r="A776" s="160" t="s">
        <v>817</v>
      </c>
      <c r="B776" s="108">
        <f ca="1">IF(OFFSET('IWP04'!Std10dot3Deposits, 1, 0, 1, 1) =DATE(1900,1,0),DATE(1900,1,1),OFFSET('IWP04'!Std10dot3Deposits, 1, 0, 1, 1))</f>
        <v>1</v>
      </c>
      <c r="C776" s="116">
        <f ca="1">OFFSET('IWP04'!Std10dot3Deposits, 1, 2, 1, 1)</f>
        <v>0</v>
      </c>
      <c r="D776" s="159" t="str">
        <f ca="1">IF(OFFSET('IWP04'!Std10dot3Deposits, 1, 4, 1, 1) = 0, "", OFFSET('IWP04'!Std10dot3Deposits, 1, 4, 1, 1))</f>
        <v/>
      </c>
      <c r="E776" s="164" t="str">
        <f ca="1">IF(OFFSET('IWP04'!Std10dot3Deposits, 1, 7, 1, 1) = 0, "", OFFSET('IWP04'!Std10dot3Deposits, 1, 7, 1, 1))</f>
        <v/>
      </c>
    </row>
    <row r="777" spans="1:5">
      <c r="A777" s="160" t="s">
        <v>817</v>
      </c>
      <c r="B777" s="108">
        <f ca="1">IF(OFFSET('IWP04'!Std10dot3Deposits, 2, 0, 1, 1) =DATE(1900,1,0),DATE(1900,1,1),OFFSET('IWP04'!Std10dot3Deposits, 2, 0, 1, 1))</f>
        <v>1</v>
      </c>
      <c r="C777" s="116">
        <f ca="1">OFFSET('IWP04'!Std10dot3Deposits, 2, 2, 1, 1)</f>
        <v>0</v>
      </c>
      <c r="D777" s="159" t="str">
        <f ca="1">IF(OFFSET('IWP04'!Std10dot3Deposits, 2, 4, 1, 1) = 0, "", OFFSET('IWP04'!Std10dot3Deposits, 2, 4, 1, 1))</f>
        <v/>
      </c>
      <c r="E777" s="164" t="str">
        <f ca="1">IF(OFFSET('IWP04'!Std10dot3Deposits, 2, 7, 1, 1) = 0, "", OFFSET('IWP04'!Std10dot3Deposits, 2, 7, 1, 1))</f>
        <v/>
      </c>
    </row>
    <row r="778" spans="1:5">
      <c r="A778" s="160" t="s">
        <v>817</v>
      </c>
      <c r="B778" s="108">
        <f ca="1">IF(OFFSET('IWP04'!Std10dot3Deposits, 3, 0, 1, 1) =DATE(1900,1,0),DATE(1900,1,1),OFFSET('IWP04'!Std10dot3Deposits, 3, 0, 1, 1))</f>
        <v>1</v>
      </c>
      <c r="C778" s="116">
        <f ca="1">OFFSET('IWP04'!Std10dot3Deposits, 3, 2, 1, 1)</f>
        <v>0</v>
      </c>
      <c r="D778" s="159" t="str">
        <f ca="1">IF(OFFSET('IWP04'!Std10dot3Deposits, 3, 4, 1, 1) = 0, "", OFFSET('IWP04'!Std10dot3Deposits, 3, 4, 1, 1))</f>
        <v/>
      </c>
      <c r="E778" s="164" t="str">
        <f ca="1">IF(OFFSET('IWP04'!Std10dot3Deposits, 3, 7, 1, 1) = 0, "", OFFSET('IWP04'!Std10dot3Deposits, 3, 7, 1, 1))</f>
        <v/>
      </c>
    </row>
    <row r="779" spans="1:5">
      <c r="A779" s="160" t="s">
        <v>817</v>
      </c>
      <c r="B779" s="108">
        <f ca="1">IF(OFFSET('IWP04'!Std10dot3Deposits, 4, 0, 1, 1) =DATE(1900,1,0),DATE(1900,1,1),OFFSET('IWP04'!Std10dot3Deposits, 4, 0, 1, 1))</f>
        <v>1</v>
      </c>
      <c r="C779" s="116">
        <f ca="1">OFFSET('IWP04'!Std10dot3Deposits, 4, 2, 1, 1)</f>
        <v>0</v>
      </c>
      <c r="D779" s="159" t="str">
        <f ca="1">IF(OFFSET('IWP04'!Std10dot3Deposits, 4, 4, 1, 1) = 0, "", OFFSET('IWP04'!Std10dot3Deposits, 4, 4, 1, 1))</f>
        <v/>
      </c>
      <c r="E779" s="164" t="str">
        <f ca="1">IF(OFFSET('IWP04'!Std10dot3Deposits, 4, 7, 1, 1) = 0, "", OFFSET('IWP04'!Std10dot3Deposits, 4, 7, 1, 1))</f>
        <v/>
      </c>
    </row>
    <row r="780" spans="1:5">
      <c r="A780" s="160" t="s">
        <v>817</v>
      </c>
      <c r="B780" s="108">
        <f ca="1">IF(OFFSET('IWP04'!Std10dot3Deposits, 5, 0, 1, 1) =DATE(1900,1,0),DATE(1900,1,1),OFFSET('IWP04'!Std10dot3Deposits, 5, 0, 1, 1))</f>
        <v>1</v>
      </c>
      <c r="C780" s="116">
        <f ca="1">OFFSET('IWP04'!Std10dot3Deposits, 5, 2, 1, 1)</f>
        <v>0</v>
      </c>
      <c r="D780" s="159" t="str">
        <f ca="1">IF(OFFSET('IWP04'!Std10dot3Deposits, 5, 4, 1, 1) = 0, "", OFFSET('IWP04'!Std10dot3Deposits, 5, 4, 1, 1))</f>
        <v/>
      </c>
      <c r="E780" s="164" t="str">
        <f ca="1">IF(OFFSET('IWP04'!Std10dot3Deposits, 5, 7, 1, 1) = 0, "", OFFSET('IWP04'!Std10dot3Deposits, 5, 7, 1, 1))</f>
        <v/>
      </c>
    </row>
    <row r="781" spans="1:5">
      <c r="A781" s="160" t="s">
        <v>817</v>
      </c>
      <c r="B781" s="108">
        <f ca="1">IF(OFFSET('IWP04'!Std10dot3Deposits, 6, 0, 1, 1) =DATE(1900,1,0),DATE(1900,1,1),OFFSET('IWP04'!Std10dot3Deposits, 6, 0, 1, 1))</f>
        <v>1</v>
      </c>
      <c r="C781" s="116">
        <f ca="1">OFFSET('IWP04'!Std10dot3Deposits, 6, 2, 1, 1)</f>
        <v>0</v>
      </c>
      <c r="D781" s="159" t="str">
        <f ca="1">IF(OFFSET('IWP04'!Std10dot3Deposits, 6, 4, 1, 1) = 0, "", OFFSET('IWP04'!Std10dot3Deposits, 6, 4, 1, 1))</f>
        <v/>
      </c>
      <c r="E781" s="164" t="str">
        <f ca="1">IF(OFFSET('IWP04'!Std10dot3Deposits, 6, 7, 1, 1) = 0, "", OFFSET('IWP04'!Std10dot3Deposits, 6, 7, 1, 1))</f>
        <v/>
      </c>
    </row>
    <row r="782" spans="1:5">
      <c r="A782" s="160" t="s">
        <v>817</v>
      </c>
      <c r="B782" s="108">
        <f ca="1">IF(OFFSET('IWP04'!Std10dot3Deposits, 7, 0, 1, 1) =DATE(1900,1,0),DATE(1900,1,1),OFFSET('IWP04'!Std10dot3Deposits, 7, 0, 1, 1))</f>
        <v>1</v>
      </c>
      <c r="C782" s="116">
        <f ca="1">OFFSET('IWP04'!Std10dot3Deposits, 7, 2, 1, 1)</f>
        <v>0</v>
      </c>
      <c r="D782" s="159" t="str">
        <f ca="1">IF(OFFSET('IWP04'!Std10dot3Deposits, 7, 4, 1, 1) = 0, "", OFFSET('IWP04'!Std10dot3Deposits, 7, 4, 1, 1))</f>
        <v/>
      </c>
      <c r="E782" s="164" t="str">
        <f ca="1">IF(OFFSET('IWP04'!Std10dot3Deposits, 7, 7, 1, 1) = 0, "", OFFSET('IWP04'!Std10dot3Deposits, 7, 7, 1, 1))</f>
        <v/>
      </c>
    </row>
    <row r="783" spans="1:5">
      <c r="A783" s="160" t="s">
        <v>817</v>
      </c>
      <c r="B783" s="108">
        <f ca="1">IF(OFFSET('IWP04'!Std10dot3Deposits, 8, 0, 1, 1) =DATE(1900,1,0),DATE(1900,1,1),OFFSET('IWP04'!Std10dot3Deposits, 8, 0, 1, 1))</f>
        <v>1</v>
      </c>
      <c r="C783" s="116">
        <f ca="1">OFFSET('IWP04'!Std10dot3Deposits, 8, 2, 1, 1)</f>
        <v>0</v>
      </c>
      <c r="D783" s="159" t="str">
        <f ca="1">IF(OFFSET('IWP04'!Std10dot3Deposits, 8, 4, 1, 1) = 0, "", OFFSET('IWP04'!Std10dot3Deposits, 8, 4, 1, 1))</f>
        <v/>
      </c>
      <c r="E783" s="164" t="str">
        <f ca="1">IF(OFFSET('IWP04'!Std10dot3Deposits, 8, 7, 1, 1) = 0, "", OFFSET('IWP04'!Std10dot3Deposits, 8, 7, 1, 1))</f>
        <v/>
      </c>
    </row>
    <row r="784" spans="1:5">
      <c r="A784" s="160" t="s">
        <v>817</v>
      </c>
      <c r="B784" s="108">
        <f ca="1">IF(OFFSET('IWP04'!Std10dot3Deposits, 9, 0, 1, 1) =DATE(1900,1,0),DATE(1900,1,1),OFFSET('IWP04'!Std10dot3Deposits, 9, 0, 1, 1))</f>
        <v>1</v>
      </c>
      <c r="C784" s="116">
        <f ca="1">OFFSET('IWP04'!Std10dot3Deposits, 9, 2, 1, 1)</f>
        <v>0</v>
      </c>
      <c r="D784" s="159" t="str">
        <f ca="1">IF(OFFSET('IWP04'!Std10dot3Deposits, 9, 4, 1, 1) = 0, "", OFFSET('IWP04'!Std10dot3Deposits, 9, 4, 1, 1))</f>
        <v/>
      </c>
      <c r="E784" s="164" t="str">
        <f ca="1">IF(OFFSET('IWP04'!Std10dot3Deposits, 9, 7, 1, 1) = 0, "", OFFSET('IWP04'!Std10dot3Deposits, 9, 7, 1, 1))</f>
        <v/>
      </c>
    </row>
    <row r="785" spans="1:5">
      <c r="A785" s="160" t="s">
        <v>818</v>
      </c>
      <c r="B785" s="108">
        <f ca="1">IF(OFFSET('IWP05'!Std10dot3Deposits, 0, 0, 1, 1) =DATE(1900,1,0),DATE(1900,1,1),OFFSET('IWP05'!Std10dot3Deposits, 0, 0, 1, 1))</f>
        <v>1</v>
      </c>
      <c r="C785" s="116">
        <f ca="1">OFFSET('IWP05'!Std10dot3Deposits, 0, 2, 1, 1)</f>
        <v>0</v>
      </c>
      <c r="D785" s="159" t="str">
        <f ca="1">IF(OFFSET('IWP05'!Std10dot3Deposits, 0, 4, 1, 1) = 0, "", OFFSET('IWP05'!Std10dot3Deposits, 0, 4, 1, 1))</f>
        <v/>
      </c>
      <c r="E785" s="164" t="str">
        <f ca="1">IF(OFFSET('IWP05'!Std10dot3Deposits, 0, 7, 1, 1) = 0, "", OFFSET('IWP05'!Std10dot3Deposits, 0, 7, 1, 1))</f>
        <v/>
      </c>
    </row>
    <row r="786" spans="1:5">
      <c r="A786" s="160" t="s">
        <v>818</v>
      </c>
      <c r="B786" s="108">
        <f ca="1">IF(OFFSET('IWP05'!Std10dot3Deposits, 1, 0, 1, 1) =DATE(1900,1,0),DATE(1900,1,1),OFFSET('IWP05'!Std10dot3Deposits, 1, 0, 1, 1))</f>
        <v>1</v>
      </c>
      <c r="C786" s="116">
        <f ca="1">OFFSET('IWP05'!Std10dot3Deposits, 1, 2, 1, 1)</f>
        <v>0</v>
      </c>
      <c r="D786" s="159" t="str">
        <f ca="1">IF(OFFSET('IWP05'!Std10dot3Deposits, 1, 4, 1, 1) = 0, "", OFFSET('IWP05'!Std10dot3Deposits, 1, 4, 1, 1))</f>
        <v/>
      </c>
      <c r="E786" s="164" t="str">
        <f ca="1">IF(OFFSET('IWP05'!Std10dot3Deposits, 1, 7, 1, 1) = 0, "", OFFSET('IWP05'!Std10dot3Deposits, 1, 7, 1, 1))</f>
        <v/>
      </c>
    </row>
    <row r="787" spans="1:5">
      <c r="A787" s="160" t="s">
        <v>818</v>
      </c>
      <c r="B787" s="108">
        <f ca="1">IF(OFFSET('IWP05'!Std10dot3Deposits, 2, 0, 1, 1) =DATE(1900,1,0),DATE(1900,1,1),OFFSET('IWP05'!Std10dot3Deposits, 2, 0, 1, 1))</f>
        <v>1</v>
      </c>
      <c r="C787" s="116">
        <f ca="1">OFFSET('IWP05'!Std10dot3Deposits, 2, 2, 1, 1)</f>
        <v>0</v>
      </c>
      <c r="D787" s="159" t="str">
        <f ca="1">IF(OFFSET('IWP05'!Std10dot3Deposits, 2, 4, 1, 1) = 0, "", OFFSET('IWP05'!Std10dot3Deposits, 2, 4, 1, 1))</f>
        <v/>
      </c>
      <c r="E787" s="164" t="str">
        <f ca="1">IF(OFFSET('IWP05'!Std10dot3Deposits, 2, 7, 1, 1) = 0, "", OFFSET('IWP05'!Std10dot3Deposits, 2, 7, 1, 1))</f>
        <v/>
      </c>
    </row>
    <row r="788" spans="1:5">
      <c r="A788" s="160" t="s">
        <v>818</v>
      </c>
      <c r="B788" s="108">
        <f ca="1">IF(OFFSET('IWP05'!Std10dot3Deposits, 3, 0, 1, 1) =DATE(1900,1,0),DATE(1900,1,1),OFFSET('IWP05'!Std10dot3Deposits, 3, 0, 1, 1))</f>
        <v>1</v>
      </c>
      <c r="C788" s="116">
        <f ca="1">OFFSET('IWP05'!Std10dot3Deposits, 3, 2, 1, 1)</f>
        <v>0</v>
      </c>
      <c r="D788" s="159" t="str">
        <f ca="1">IF(OFFSET('IWP05'!Std10dot3Deposits, 3, 4, 1, 1) = 0, "", OFFSET('IWP05'!Std10dot3Deposits, 3, 4, 1, 1))</f>
        <v/>
      </c>
      <c r="E788" s="164" t="str">
        <f ca="1">IF(OFFSET('IWP05'!Std10dot3Deposits, 3, 7, 1, 1) = 0, "", OFFSET('IWP05'!Std10dot3Deposits, 3, 7, 1, 1))</f>
        <v/>
      </c>
    </row>
    <row r="789" spans="1:5">
      <c r="A789" s="160" t="s">
        <v>818</v>
      </c>
      <c r="B789" s="108">
        <f ca="1">IF(OFFSET('IWP05'!Std10dot3Deposits, 4, 0, 1, 1) =DATE(1900,1,0),DATE(1900,1,1),OFFSET('IWP05'!Std10dot3Deposits, 4, 0, 1, 1))</f>
        <v>1</v>
      </c>
      <c r="C789" s="116">
        <f ca="1">OFFSET('IWP05'!Std10dot3Deposits, 4, 2, 1, 1)</f>
        <v>0</v>
      </c>
      <c r="D789" s="159" t="str">
        <f ca="1">IF(OFFSET('IWP05'!Std10dot3Deposits, 4, 4, 1, 1) = 0, "", OFFSET('IWP05'!Std10dot3Deposits, 4, 4, 1, 1))</f>
        <v/>
      </c>
      <c r="E789" s="164" t="str">
        <f ca="1">IF(OFFSET('IWP05'!Std10dot3Deposits, 4, 7, 1, 1) = 0, "", OFFSET('IWP05'!Std10dot3Deposits, 4, 7, 1, 1))</f>
        <v/>
      </c>
    </row>
    <row r="790" spans="1:5">
      <c r="A790" s="160" t="s">
        <v>818</v>
      </c>
      <c r="B790" s="108">
        <f ca="1">IF(OFFSET('IWP05'!Std10dot3Deposits, 5, 0, 1, 1) =DATE(1900,1,0),DATE(1900,1,1),OFFSET('IWP05'!Std10dot3Deposits, 5, 0, 1, 1))</f>
        <v>1</v>
      </c>
      <c r="C790" s="116">
        <f ca="1">OFFSET('IWP05'!Std10dot3Deposits, 5, 2, 1, 1)</f>
        <v>0</v>
      </c>
      <c r="D790" s="159" t="str">
        <f ca="1">IF(OFFSET('IWP05'!Std10dot3Deposits, 5, 4, 1, 1) = 0, "", OFFSET('IWP05'!Std10dot3Deposits, 5, 4, 1, 1))</f>
        <v/>
      </c>
      <c r="E790" s="164" t="str">
        <f ca="1">IF(OFFSET('IWP05'!Std10dot3Deposits, 5, 7, 1, 1) = 0, "", OFFSET('IWP05'!Std10dot3Deposits, 5, 7, 1, 1))</f>
        <v/>
      </c>
    </row>
    <row r="791" spans="1:5">
      <c r="A791" s="160" t="s">
        <v>818</v>
      </c>
      <c r="B791" s="108">
        <f ca="1">IF(OFFSET('IWP05'!Std10dot3Deposits, 6, 0, 1, 1) =DATE(1900,1,0),DATE(1900,1,1),OFFSET('IWP05'!Std10dot3Deposits, 6, 0, 1, 1))</f>
        <v>1</v>
      </c>
      <c r="C791" s="116">
        <f ca="1">OFFSET('IWP05'!Std10dot3Deposits, 6, 2, 1, 1)</f>
        <v>0</v>
      </c>
      <c r="D791" s="159" t="str">
        <f ca="1">IF(OFFSET('IWP05'!Std10dot3Deposits, 6, 4, 1, 1) = 0, "", OFFSET('IWP05'!Std10dot3Deposits, 6, 4, 1, 1))</f>
        <v/>
      </c>
      <c r="E791" s="164" t="str">
        <f ca="1">IF(OFFSET('IWP05'!Std10dot3Deposits, 6, 7, 1, 1) = 0, "", OFFSET('IWP05'!Std10dot3Deposits, 6, 7, 1, 1))</f>
        <v/>
      </c>
    </row>
    <row r="792" spans="1:5">
      <c r="A792" s="160" t="s">
        <v>818</v>
      </c>
      <c r="B792" s="108">
        <f ca="1">IF(OFFSET('IWP05'!Std10dot3Deposits, 7, 0, 1, 1) =DATE(1900,1,0),DATE(1900,1,1),OFFSET('IWP05'!Std10dot3Deposits, 7, 0, 1, 1))</f>
        <v>1</v>
      </c>
      <c r="C792" s="116">
        <f ca="1">OFFSET('IWP05'!Std10dot3Deposits, 7, 2, 1, 1)</f>
        <v>0</v>
      </c>
      <c r="D792" s="159" t="str">
        <f ca="1">IF(OFFSET('IWP05'!Std10dot3Deposits, 7, 4, 1, 1) = 0, "", OFFSET('IWP05'!Std10dot3Deposits, 7, 4, 1, 1))</f>
        <v/>
      </c>
      <c r="E792" s="164" t="str">
        <f ca="1">IF(OFFSET('IWP05'!Std10dot3Deposits, 7, 7, 1, 1) = 0, "", OFFSET('IWP05'!Std10dot3Deposits, 7, 7, 1, 1))</f>
        <v/>
      </c>
    </row>
    <row r="793" spans="1:5">
      <c r="A793" s="160" t="s">
        <v>818</v>
      </c>
      <c r="B793" s="108">
        <f ca="1">IF(OFFSET('IWP05'!Std10dot3Deposits, 8, 0, 1, 1) =DATE(1900,1,0),DATE(1900,1,1),OFFSET('IWP05'!Std10dot3Deposits, 8, 0, 1, 1))</f>
        <v>1</v>
      </c>
      <c r="C793" s="116">
        <f ca="1">OFFSET('IWP05'!Std10dot3Deposits, 8, 2, 1, 1)</f>
        <v>0</v>
      </c>
      <c r="D793" s="159" t="str">
        <f ca="1">IF(OFFSET('IWP05'!Std10dot3Deposits, 8, 4, 1, 1) = 0, "", OFFSET('IWP05'!Std10dot3Deposits, 8, 4, 1, 1))</f>
        <v/>
      </c>
      <c r="E793" s="164" t="str">
        <f ca="1">IF(OFFSET('IWP05'!Std10dot3Deposits, 8, 7, 1, 1) = 0, "", OFFSET('IWP05'!Std10dot3Deposits, 8, 7, 1, 1))</f>
        <v/>
      </c>
    </row>
    <row r="794" spans="1:5">
      <c r="A794" s="160" t="s">
        <v>818</v>
      </c>
      <c r="B794" s="108">
        <f ca="1">IF(OFFSET('IWP05'!Std10dot3Deposits, 9, 0, 1, 1) =DATE(1900,1,0),DATE(1900,1,1),OFFSET('IWP05'!Std10dot3Deposits, 9, 0, 1, 1))</f>
        <v>1</v>
      </c>
      <c r="C794" s="116">
        <f ca="1">OFFSET('IWP05'!Std10dot3Deposits, 9, 2, 1, 1)</f>
        <v>0</v>
      </c>
      <c r="D794" s="159" t="str">
        <f ca="1">IF(OFFSET('IWP05'!Std10dot3Deposits, 9, 4, 1, 1) = 0, "", OFFSET('IWP05'!Std10dot3Deposits, 9, 4, 1, 1))</f>
        <v/>
      </c>
      <c r="E794" s="164" t="str">
        <f ca="1">IF(OFFSET('IWP05'!Std10dot3Deposits, 9, 7, 1, 1) = 0, "", OFFSET('IWP05'!Std10dot3Deposits, 9, 7, 1, 1))</f>
        <v/>
      </c>
    </row>
    <row r="795" spans="1:5">
      <c r="A795" s="160" t="s">
        <v>819</v>
      </c>
      <c r="B795" s="108">
        <f ca="1">IF(OFFSET('IWP06'!Std10dot3Deposits, 0, 0, 1, 1) =DATE(1900,1,0),DATE(1900,1,1),OFFSET('IWP06'!Std10dot3Deposits, 0, 0, 1, 1))</f>
        <v>1</v>
      </c>
      <c r="C795" s="116">
        <f ca="1">OFFSET('IWP06'!Std10dot3Deposits, 0, 2, 1, 1)</f>
        <v>0</v>
      </c>
      <c r="D795" s="159" t="str">
        <f ca="1">IF(OFFSET('IWP06'!Std10dot3Deposits, 0, 4, 1, 1) = 0, "", OFFSET('IWP06'!Std10dot3Deposits, 0, 4, 1, 1))</f>
        <v/>
      </c>
      <c r="E795" s="164" t="str">
        <f ca="1">IF(OFFSET('IWP06'!Std10dot3Deposits, 0, 7, 1, 1) = 0, "", OFFSET('IWP06'!Std10dot3Deposits, 0, 7, 1, 1))</f>
        <v/>
      </c>
    </row>
    <row r="796" spans="1:5">
      <c r="A796" s="160" t="s">
        <v>819</v>
      </c>
      <c r="B796" s="108">
        <f ca="1">IF(OFFSET('IWP06'!Std10dot3Deposits, 1, 0, 1, 1) =DATE(1900,1,0),DATE(1900,1,1),OFFSET('IWP06'!Std10dot3Deposits, 1, 0, 1, 1))</f>
        <v>1</v>
      </c>
      <c r="C796" s="116">
        <f ca="1">OFFSET('IWP06'!Std10dot3Deposits, 1, 2, 1, 1)</f>
        <v>0</v>
      </c>
      <c r="D796" s="159" t="str">
        <f ca="1">IF(OFFSET('IWP06'!Std10dot3Deposits, 1, 4, 1, 1) = 0, "", OFFSET('IWP06'!Std10dot3Deposits, 1, 4, 1, 1))</f>
        <v/>
      </c>
      <c r="E796" s="164" t="str">
        <f ca="1">IF(OFFSET('IWP06'!Std10dot3Deposits, 1, 7, 1, 1) = 0, "", OFFSET('IWP06'!Std10dot3Deposits, 1, 7, 1, 1))</f>
        <v/>
      </c>
    </row>
    <row r="797" spans="1:5">
      <c r="A797" s="160" t="s">
        <v>819</v>
      </c>
      <c r="B797" s="108">
        <f ca="1">IF(OFFSET('IWP06'!Std10dot3Deposits, 2, 0, 1, 1) =DATE(1900,1,0),DATE(1900,1,1),OFFSET('IWP06'!Std10dot3Deposits, 2, 0, 1, 1))</f>
        <v>1</v>
      </c>
      <c r="C797" s="116">
        <f ca="1">OFFSET('IWP06'!Std10dot3Deposits, 2, 2, 1, 1)</f>
        <v>0</v>
      </c>
      <c r="D797" s="159" t="str">
        <f ca="1">IF(OFFSET('IWP06'!Std10dot3Deposits, 2, 4, 1, 1) = 0, "", OFFSET('IWP06'!Std10dot3Deposits, 2, 4, 1, 1))</f>
        <v/>
      </c>
      <c r="E797" s="164" t="str">
        <f ca="1">IF(OFFSET('IWP06'!Std10dot3Deposits, 2, 7, 1, 1) = 0, "", OFFSET('IWP06'!Std10dot3Deposits, 2, 7, 1, 1))</f>
        <v/>
      </c>
    </row>
    <row r="798" spans="1:5">
      <c r="A798" s="160" t="s">
        <v>819</v>
      </c>
      <c r="B798" s="108">
        <f ca="1">IF(OFFSET('IWP06'!Std10dot3Deposits, 3, 0, 1, 1) =DATE(1900,1,0),DATE(1900,1,1),OFFSET('IWP06'!Std10dot3Deposits, 3, 0, 1, 1))</f>
        <v>1</v>
      </c>
      <c r="C798" s="116">
        <f ca="1">OFFSET('IWP06'!Std10dot3Deposits, 3, 2, 1, 1)</f>
        <v>0</v>
      </c>
      <c r="D798" s="159" t="str">
        <f ca="1">IF(OFFSET('IWP06'!Std10dot3Deposits, 3, 4, 1, 1) = 0, "", OFFSET('IWP06'!Std10dot3Deposits, 3, 4, 1, 1))</f>
        <v/>
      </c>
      <c r="E798" s="164" t="str">
        <f ca="1">IF(OFFSET('IWP06'!Std10dot3Deposits, 3, 7, 1, 1) = 0, "", OFFSET('IWP06'!Std10dot3Deposits, 3, 7, 1, 1))</f>
        <v/>
      </c>
    </row>
    <row r="799" spans="1:5">
      <c r="A799" s="160" t="s">
        <v>819</v>
      </c>
      <c r="B799" s="108">
        <f ca="1">IF(OFFSET('IWP06'!Std10dot3Deposits, 4, 0, 1, 1) =DATE(1900,1,0),DATE(1900,1,1),OFFSET('IWP06'!Std10dot3Deposits, 4, 0, 1, 1))</f>
        <v>1</v>
      </c>
      <c r="C799" s="116">
        <f ca="1">OFFSET('IWP06'!Std10dot3Deposits, 4, 2, 1, 1)</f>
        <v>0</v>
      </c>
      <c r="D799" s="159" t="str">
        <f ca="1">IF(OFFSET('IWP06'!Std10dot3Deposits, 4, 4, 1, 1) = 0, "", OFFSET('IWP06'!Std10dot3Deposits, 4, 4, 1, 1))</f>
        <v/>
      </c>
      <c r="E799" s="164" t="str">
        <f ca="1">IF(OFFSET('IWP06'!Std10dot3Deposits, 4, 7, 1, 1) = 0, "", OFFSET('IWP06'!Std10dot3Deposits, 4, 7, 1, 1))</f>
        <v/>
      </c>
    </row>
    <row r="800" spans="1:5">
      <c r="A800" s="160" t="s">
        <v>819</v>
      </c>
      <c r="B800" s="108">
        <f ca="1">IF(OFFSET('IWP06'!Std10dot3Deposits, 5, 0, 1, 1) =DATE(1900,1,0),DATE(1900,1,1),OFFSET('IWP06'!Std10dot3Deposits, 5, 0, 1, 1))</f>
        <v>1</v>
      </c>
      <c r="C800" s="116">
        <f ca="1">OFFSET('IWP06'!Std10dot3Deposits, 5, 2, 1, 1)</f>
        <v>0</v>
      </c>
      <c r="D800" s="159" t="str">
        <f ca="1">IF(OFFSET('IWP06'!Std10dot3Deposits, 5, 4, 1, 1) = 0, "", OFFSET('IWP06'!Std10dot3Deposits, 5, 4, 1, 1))</f>
        <v/>
      </c>
      <c r="E800" s="164" t="str">
        <f ca="1">IF(OFFSET('IWP06'!Std10dot3Deposits, 5, 7, 1, 1) = 0, "", OFFSET('IWP06'!Std10dot3Deposits, 5, 7, 1, 1))</f>
        <v/>
      </c>
    </row>
    <row r="801" spans="1:5">
      <c r="A801" s="160" t="s">
        <v>819</v>
      </c>
      <c r="B801" s="108">
        <f ca="1">IF(OFFSET('IWP06'!Std10dot3Deposits, 6, 0, 1, 1) =DATE(1900,1,0),DATE(1900,1,1),OFFSET('IWP06'!Std10dot3Deposits, 6, 0, 1, 1))</f>
        <v>1</v>
      </c>
      <c r="C801" s="116">
        <f ca="1">OFFSET('IWP06'!Std10dot3Deposits, 6, 2, 1, 1)</f>
        <v>0</v>
      </c>
      <c r="D801" s="159" t="str">
        <f ca="1">IF(OFFSET('IWP06'!Std10dot3Deposits, 6, 4, 1, 1) = 0, "", OFFSET('IWP06'!Std10dot3Deposits, 6, 4, 1, 1))</f>
        <v/>
      </c>
      <c r="E801" s="164" t="str">
        <f ca="1">IF(OFFSET('IWP06'!Std10dot3Deposits, 6, 7, 1, 1) = 0, "", OFFSET('IWP06'!Std10dot3Deposits, 6, 7, 1, 1))</f>
        <v/>
      </c>
    </row>
    <row r="802" spans="1:5">
      <c r="A802" s="160" t="s">
        <v>819</v>
      </c>
      <c r="B802" s="108">
        <f ca="1">IF(OFFSET('IWP06'!Std10dot3Deposits, 7, 0, 1, 1) =DATE(1900,1,0),DATE(1900,1,1),OFFSET('IWP06'!Std10dot3Deposits, 7, 0, 1, 1))</f>
        <v>1</v>
      </c>
      <c r="C802" s="116">
        <f ca="1">OFFSET('IWP06'!Std10dot3Deposits, 7, 2, 1, 1)</f>
        <v>0</v>
      </c>
      <c r="D802" s="159" t="str">
        <f ca="1">IF(OFFSET('IWP06'!Std10dot3Deposits, 7, 4, 1, 1) = 0, "", OFFSET('IWP06'!Std10dot3Deposits, 7, 4, 1, 1))</f>
        <v/>
      </c>
      <c r="E802" s="164" t="str">
        <f ca="1">IF(OFFSET('IWP06'!Std10dot3Deposits, 7, 7, 1, 1) = 0, "", OFFSET('IWP06'!Std10dot3Deposits, 7, 7, 1, 1))</f>
        <v/>
      </c>
    </row>
    <row r="803" spans="1:5">
      <c r="A803" s="160" t="s">
        <v>819</v>
      </c>
      <c r="B803" s="108">
        <f ca="1">IF(OFFSET('IWP06'!Std10dot3Deposits, 8, 0, 1, 1) =DATE(1900,1,0),DATE(1900,1,1),OFFSET('IWP06'!Std10dot3Deposits, 8, 0, 1, 1))</f>
        <v>1</v>
      </c>
      <c r="C803" s="116">
        <f ca="1">OFFSET('IWP06'!Std10dot3Deposits, 8, 2, 1, 1)</f>
        <v>0</v>
      </c>
      <c r="D803" s="159" t="str">
        <f ca="1">IF(OFFSET('IWP06'!Std10dot3Deposits, 8, 4, 1, 1) = 0, "", OFFSET('IWP06'!Std10dot3Deposits, 8, 4, 1, 1))</f>
        <v/>
      </c>
      <c r="E803" s="164" t="str">
        <f ca="1">IF(OFFSET('IWP06'!Std10dot3Deposits, 8, 7, 1, 1) = 0, "", OFFSET('IWP06'!Std10dot3Deposits, 8, 7, 1, 1))</f>
        <v/>
      </c>
    </row>
    <row r="804" spans="1:5">
      <c r="A804" s="160" t="s">
        <v>819</v>
      </c>
      <c r="B804" s="108">
        <f ca="1">IF(OFFSET('IWP06'!Std10dot3Deposits, 9, 0, 1, 1) =DATE(1900,1,0),DATE(1900,1,1),OFFSET('IWP06'!Std10dot3Deposits, 9, 0, 1, 1))</f>
        <v>1</v>
      </c>
      <c r="C804" s="116">
        <f ca="1">OFFSET('IWP06'!Std10dot3Deposits, 9, 2, 1, 1)</f>
        <v>0</v>
      </c>
      <c r="D804" s="159" t="str">
        <f ca="1">IF(OFFSET('IWP06'!Std10dot3Deposits, 9, 4, 1, 1) = 0, "", OFFSET('IWP06'!Std10dot3Deposits, 9, 4, 1, 1))</f>
        <v/>
      </c>
      <c r="E804" s="164" t="str">
        <f ca="1">IF(OFFSET('IWP06'!Std10dot3Deposits, 9, 7, 1, 1) = 0, "", OFFSET('IWP06'!Std10dot3Deposits, 9, 7, 1, 1))</f>
        <v/>
      </c>
    </row>
    <row r="805" spans="1:5">
      <c r="A805" s="160" t="s">
        <v>820</v>
      </c>
      <c r="B805" s="108">
        <f ca="1">IF(OFFSET('IWP07'!Std10dot3Deposits, 0, 0, 1, 1) =DATE(1900,1,0),DATE(1900,1,1),OFFSET('IWP07'!Std10dot3Deposits, 0, 0, 1, 1))</f>
        <v>1</v>
      </c>
      <c r="C805" s="116">
        <f ca="1">OFFSET('IWP07'!Std10dot3Deposits, 0, 2, 1, 1)</f>
        <v>0</v>
      </c>
      <c r="D805" s="159" t="str">
        <f ca="1">IF(OFFSET('IWP07'!Std10dot3Deposits, 0, 4, 1, 1) = 0, "", OFFSET('IWP07'!Std10dot3Deposits, 0, 4, 1, 1))</f>
        <v/>
      </c>
      <c r="E805" s="164" t="str">
        <f ca="1">IF(OFFSET('IWP07'!Std10dot3Deposits, 0, 7, 1, 1) = 0, "", OFFSET('IWP07'!Std10dot3Deposits, 0, 7, 1, 1))</f>
        <v/>
      </c>
    </row>
    <row r="806" spans="1:5">
      <c r="A806" s="160" t="s">
        <v>820</v>
      </c>
      <c r="B806" s="108">
        <f ca="1">IF(OFFSET('IWP07'!Std10dot3Deposits, 1, 0, 1, 1) =DATE(1900,1,0),DATE(1900,1,1),OFFSET('IWP07'!Std10dot3Deposits, 1, 0, 1, 1))</f>
        <v>1</v>
      </c>
      <c r="C806" s="116">
        <f ca="1">OFFSET('IWP07'!Std10dot3Deposits, 1, 2, 1, 1)</f>
        <v>0</v>
      </c>
      <c r="D806" s="159" t="str">
        <f ca="1">IF(OFFSET('IWP07'!Std10dot3Deposits, 1, 4, 1, 1) = 0, "", OFFSET('IWP07'!Std10dot3Deposits, 1, 4, 1, 1))</f>
        <v/>
      </c>
      <c r="E806" s="164" t="str">
        <f ca="1">IF(OFFSET('IWP07'!Std10dot3Deposits, 1, 7, 1, 1) = 0, "", OFFSET('IWP07'!Std10dot3Deposits, 1, 7, 1, 1))</f>
        <v/>
      </c>
    </row>
    <row r="807" spans="1:5">
      <c r="A807" s="160" t="s">
        <v>820</v>
      </c>
      <c r="B807" s="108">
        <f ca="1">IF(OFFSET('IWP07'!Std10dot3Deposits, 2, 0, 1, 1) =DATE(1900,1,0),DATE(1900,1,1),OFFSET('IWP07'!Std10dot3Deposits, 2, 0, 1, 1))</f>
        <v>1</v>
      </c>
      <c r="C807" s="116">
        <f ca="1">OFFSET('IWP07'!Std10dot3Deposits, 2, 2, 1, 1)</f>
        <v>0</v>
      </c>
      <c r="D807" s="159" t="str">
        <f ca="1">IF(OFFSET('IWP07'!Std10dot3Deposits, 2, 4, 1, 1) = 0, "", OFFSET('IWP07'!Std10dot3Deposits, 2, 4, 1, 1))</f>
        <v/>
      </c>
      <c r="E807" s="164" t="str">
        <f ca="1">IF(OFFSET('IWP07'!Std10dot3Deposits, 2, 7, 1, 1) = 0, "", OFFSET('IWP07'!Std10dot3Deposits, 2, 7, 1, 1))</f>
        <v/>
      </c>
    </row>
    <row r="808" spans="1:5">
      <c r="A808" s="160" t="s">
        <v>820</v>
      </c>
      <c r="B808" s="108">
        <f ca="1">IF(OFFSET('IWP07'!Std10dot3Deposits, 3, 0, 1, 1) =DATE(1900,1,0),DATE(1900,1,1),OFFSET('IWP07'!Std10dot3Deposits, 3, 0, 1, 1))</f>
        <v>1</v>
      </c>
      <c r="C808" s="116">
        <f ca="1">OFFSET('IWP07'!Std10dot3Deposits, 3, 2, 1, 1)</f>
        <v>0</v>
      </c>
      <c r="D808" s="159" t="str">
        <f ca="1">IF(OFFSET('IWP07'!Std10dot3Deposits, 3, 4, 1, 1) = 0, "", OFFSET('IWP07'!Std10dot3Deposits, 3, 4, 1, 1))</f>
        <v/>
      </c>
      <c r="E808" s="164" t="str">
        <f ca="1">IF(OFFSET('IWP07'!Std10dot3Deposits, 3, 7, 1, 1) = 0, "", OFFSET('IWP07'!Std10dot3Deposits, 3, 7, 1, 1))</f>
        <v/>
      </c>
    </row>
    <row r="809" spans="1:5">
      <c r="A809" s="160" t="s">
        <v>820</v>
      </c>
      <c r="B809" s="108">
        <f ca="1">IF(OFFSET('IWP07'!Std10dot3Deposits, 4, 0, 1, 1) =DATE(1900,1,0),DATE(1900,1,1),OFFSET('IWP07'!Std10dot3Deposits, 4, 0, 1, 1))</f>
        <v>1</v>
      </c>
      <c r="C809" s="116">
        <f ca="1">OFFSET('IWP07'!Std10dot3Deposits, 4, 2, 1, 1)</f>
        <v>0</v>
      </c>
      <c r="D809" s="159" t="str">
        <f ca="1">IF(OFFSET('IWP07'!Std10dot3Deposits, 4, 4, 1, 1) = 0, "", OFFSET('IWP07'!Std10dot3Deposits, 4, 4, 1, 1))</f>
        <v/>
      </c>
      <c r="E809" s="164" t="str">
        <f ca="1">IF(OFFSET('IWP07'!Std10dot3Deposits, 4, 7, 1, 1) = 0, "", OFFSET('IWP07'!Std10dot3Deposits, 4, 7, 1, 1))</f>
        <v/>
      </c>
    </row>
    <row r="810" spans="1:5">
      <c r="A810" s="160" t="s">
        <v>820</v>
      </c>
      <c r="B810" s="108">
        <f ca="1">IF(OFFSET('IWP07'!Std10dot3Deposits, 5, 0, 1, 1) =DATE(1900,1,0),DATE(1900,1,1),OFFSET('IWP07'!Std10dot3Deposits, 5, 0, 1, 1))</f>
        <v>1</v>
      </c>
      <c r="C810" s="116">
        <f ca="1">OFFSET('IWP07'!Std10dot3Deposits, 5, 2, 1, 1)</f>
        <v>0</v>
      </c>
      <c r="D810" s="159" t="str">
        <f ca="1">IF(OFFSET('IWP07'!Std10dot3Deposits, 5, 4, 1, 1) = 0, "", OFFSET('IWP07'!Std10dot3Deposits, 5, 4, 1, 1))</f>
        <v/>
      </c>
      <c r="E810" s="164" t="str">
        <f ca="1">IF(OFFSET('IWP07'!Std10dot3Deposits, 5, 7, 1, 1) = 0, "", OFFSET('IWP07'!Std10dot3Deposits, 5, 7, 1, 1))</f>
        <v/>
      </c>
    </row>
    <row r="811" spans="1:5">
      <c r="A811" s="160" t="s">
        <v>820</v>
      </c>
      <c r="B811" s="108">
        <f ca="1">IF(OFFSET('IWP07'!Std10dot3Deposits, 6, 0, 1, 1) =DATE(1900,1,0),DATE(1900,1,1),OFFSET('IWP07'!Std10dot3Deposits, 6, 0, 1, 1))</f>
        <v>1</v>
      </c>
      <c r="C811" s="116">
        <f ca="1">OFFSET('IWP07'!Std10dot3Deposits, 6, 2, 1, 1)</f>
        <v>0</v>
      </c>
      <c r="D811" s="159" t="str">
        <f ca="1">IF(OFFSET('IWP07'!Std10dot3Deposits, 6, 4, 1, 1) = 0, "", OFFSET('IWP07'!Std10dot3Deposits, 6, 4, 1, 1))</f>
        <v/>
      </c>
      <c r="E811" s="164" t="str">
        <f ca="1">IF(OFFSET('IWP07'!Std10dot3Deposits, 6, 7, 1, 1) = 0, "", OFFSET('IWP07'!Std10dot3Deposits, 6, 7, 1, 1))</f>
        <v/>
      </c>
    </row>
    <row r="812" spans="1:5">
      <c r="A812" s="160" t="s">
        <v>820</v>
      </c>
      <c r="B812" s="108">
        <f ca="1">IF(OFFSET('IWP07'!Std10dot3Deposits, 7, 0, 1, 1) =DATE(1900,1,0),DATE(1900,1,1),OFFSET('IWP07'!Std10dot3Deposits, 7, 0, 1, 1))</f>
        <v>1</v>
      </c>
      <c r="C812" s="116">
        <f ca="1">OFFSET('IWP07'!Std10dot3Deposits, 7, 2, 1, 1)</f>
        <v>0</v>
      </c>
      <c r="D812" s="159" t="str">
        <f ca="1">IF(OFFSET('IWP07'!Std10dot3Deposits, 7, 4, 1, 1) = 0, "", OFFSET('IWP07'!Std10dot3Deposits, 7, 4, 1, 1))</f>
        <v/>
      </c>
      <c r="E812" s="164" t="str">
        <f ca="1">IF(OFFSET('IWP07'!Std10dot3Deposits, 7, 7, 1, 1) = 0, "", OFFSET('IWP07'!Std10dot3Deposits, 7, 7, 1, 1))</f>
        <v/>
      </c>
    </row>
    <row r="813" spans="1:5">
      <c r="A813" s="160" t="s">
        <v>820</v>
      </c>
      <c r="B813" s="108">
        <f ca="1">IF(OFFSET('IWP07'!Std10dot3Deposits, 8, 0, 1, 1) =DATE(1900,1,0),DATE(1900,1,1),OFFSET('IWP07'!Std10dot3Deposits, 8, 0, 1, 1))</f>
        <v>1</v>
      </c>
      <c r="C813" s="116">
        <f ca="1">OFFSET('IWP07'!Std10dot3Deposits, 8, 2, 1, 1)</f>
        <v>0</v>
      </c>
      <c r="D813" s="159" t="str">
        <f ca="1">IF(OFFSET('IWP07'!Std10dot3Deposits, 8, 4, 1, 1) = 0, "", OFFSET('IWP07'!Std10dot3Deposits, 8, 4, 1, 1))</f>
        <v/>
      </c>
      <c r="E813" s="164" t="str">
        <f ca="1">IF(OFFSET('IWP07'!Std10dot3Deposits, 8, 7, 1, 1) = 0, "", OFFSET('IWP07'!Std10dot3Deposits, 8, 7, 1, 1))</f>
        <v/>
      </c>
    </row>
    <row r="814" spans="1:5">
      <c r="A814" s="160" t="s">
        <v>820</v>
      </c>
      <c r="B814" s="108">
        <f ca="1">IF(OFFSET('IWP07'!Std10dot3Deposits, 9, 0, 1, 1) =DATE(1900,1,0),DATE(1900,1,1),OFFSET('IWP07'!Std10dot3Deposits, 9, 0, 1, 1))</f>
        <v>1</v>
      </c>
      <c r="C814" s="116">
        <f ca="1">OFFSET('IWP07'!Std10dot3Deposits, 9, 2, 1, 1)</f>
        <v>0</v>
      </c>
      <c r="D814" s="159" t="str">
        <f ca="1">IF(OFFSET('IWP07'!Std10dot3Deposits, 9, 4, 1, 1) = 0, "", OFFSET('IWP07'!Std10dot3Deposits, 9, 4, 1, 1))</f>
        <v/>
      </c>
      <c r="E814" s="164" t="str">
        <f ca="1">IF(OFFSET('IWP07'!Std10dot3Deposits, 9, 7, 1, 1) = 0, "", OFFSET('IWP07'!Std10dot3Deposits, 9, 7, 1, 1))</f>
        <v/>
      </c>
    </row>
    <row r="815" spans="1:5">
      <c r="A815" s="160" t="s">
        <v>821</v>
      </c>
      <c r="B815" s="108">
        <f ca="1">IF(OFFSET('IWP08'!Std10dot3Deposits, 0, 0, 1, 1) =DATE(1900,1,0),DATE(1900,1,1),OFFSET('IWP08'!Std10dot3Deposits, 0, 0, 1, 1))</f>
        <v>1</v>
      </c>
      <c r="C815" s="116">
        <f ca="1">OFFSET('IWP08'!Std10dot3Deposits, 0, 2, 1, 1)</f>
        <v>0</v>
      </c>
      <c r="D815" s="159" t="str">
        <f ca="1">IF(OFFSET('IWP08'!Std10dot3Deposits, 0, 4, 1, 1) = 0, "", OFFSET('IWP08'!Std10dot3Deposits, 0, 4, 1, 1))</f>
        <v/>
      </c>
      <c r="E815" s="164" t="str">
        <f ca="1">IF(OFFSET('IWP08'!Std10dot3Deposits, 0, 7, 1, 1) = 0, "", OFFSET('IWP08'!Std10dot3Deposits, 0, 7, 1, 1))</f>
        <v/>
      </c>
    </row>
    <row r="816" spans="1:5">
      <c r="A816" s="160" t="s">
        <v>821</v>
      </c>
      <c r="B816" s="108">
        <f ca="1">IF(OFFSET('IWP08'!Std10dot3Deposits, 1, 0, 1, 1) =DATE(1900,1,0),DATE(1900,1,1),OFFSET('IWP08'!Std10dot3Deposits, 1, 0, 1, 1))</f>
        <v>1</v>
      </c>
      <c r="C816" s="116">
        <f ca="1">OFFSET('IWP08'!Std10dot3Deposits, 1, 2, 1, 1)</f>
        <v>0</v>
      </c>
      <c r="D816" s="159" t="str">
        <f ca="1">IF(OFFSET('IWP08'!Std10dot3Deposits, 1, 4, 1, 1) = 0, "", OFFSET('IWP08'!Std10dot3Deposits, 1, 4, 1, 1))</f>
        <v/>
      </c>
      <c r="E816" s="164" t="str">
        <f ca="1">IF(OFFSET('IWP08'!Std10dot3Deposits, 1, 7, 1, 1) = 0, "", OFFSET('IWP08'!Std10dot3Deposits, 1, 7, 1, 1))</f>
        <v/>
      </c>
    </row>
    <row r="817" spans="1:5">
      <c r="A817" s="160" t="s">
        <v>821</v>
      </c>
      <c r="B817" s="108">
        <f ca="1">IF(OFFSET('IWP08'!Std10dot3Deposits, 2, 0, 1, 1) =DATE(1900,1,0),DATE(1900,1,1),OFFSET('IWP08'!Std10dot3Deposits, 2, 0, 1, 1))</f>
        <v>1</v>
      </c>
      <c r="C817" s="116">
        <f ca="1">OFFSET('IWP08'!Std10dot3Deposits, 2, 2, 1, 1)</f>
        <v>0</v>
      </c>
      <c r="D817" s="159" t="str">
        <f ca="1">IF(OFFSET('IWP08'!Std10dot3Deposits, 2, 4, 1, 1) = 0, "", OFFSET('IWP08'!Std10dot3Deposits, 2, 4, 1, 1))</f>
        <v/>
      </c>
      <c r="E817" s="164" t="str">
        <f ca="1">IF(OFFSET('IWP08'!Std10dot3Deposits, 2, 7, 1, 1) = 0, "", OFFSET('IWP08'!Std10dot3Deposits, 2, 7, 1, 1))</f>
        <v/>
      </c>
    </row>
    <row r="818" spans="1:5">
      <c r="A818" s="160" t="s">
        <v>821</v>
      </c>
      <c r="B818" s="108">
        <f ca="1">IF(OFFSET('IWP08'!Std10dot3Deposits, 3, 0, 1, 1) =DATE(1900,1,0),DATE(1900,1,1),OFFSET('IWP08'!Std10dot3Deposits, 3, 0, 1, 1))</f>
        <v>1</v>
      </c>
      <c r="C818" s="116">
        <f ca="1">OFFSET('IWP08'!Std10dot3Deposits, 3, 2, 1, 1)</f>
        <v>0</v>
      </c>
      <c r="D818" s="159" t="str">
        <f ca="1">IF(OFFSET('IWP08'!Std10dot3Deposits, 3, 4, 1, 1) = 0, "", OFFSET('IWP08'!Std10dot3Deposits, 3, 4, 1, 1))</f>
        <v/>
      </c>
      <c r="E818" s="164" t="str">
        <f ca="1">IF(OFFSET('IWP08'!Std10dot3Deposits, 3, 7, 1, 1) = 0, "", OFFSET('IWP08'!Std10dot3Deposits, 3, 7, 1, 1))</f>
        <v/>
      </c>
    </row>
    <row r="819" spans="1:5">
      <c r="A819" s="160" t="s">
        <v>821</v>
      </c>
      <c r="B819" s="108">
        <f ca="1">IF(OFFSET('IWP08'!Std10dot3Deposits, 4, 0, 1, 1) =DATE(1900,1,0),DATE(1900,1,1),OFFSET('IWP08'!Std10dot3Deposits, 4, 0, 1, 1))</f>
        <v>1</v>
      </c>
      <c r="C819" s="116">
        <f ca="1">OFFSET('IWP08'!Std10dot3Deposits, 4, 2, 1, 1)</f>
        <v>0</v>
      </c>
      <c r="D819" s="159" t="str">
        <f ca="1">IF(OFFSET('IWP08'!Std10dot3Deposits, 4, 4, 1, 1) = 0, "", OFFSET('IWP08'!Std10dot3Deposits, 4, 4, 1, 1))</f>
        <v/>
      </c>
      <c r="E819" s="164" t="str">
        <f ca="1">IF(OFFSET('IWP08'!Std10dot3Deposits, 4, 7, 1, 1) = 0, "", OFFSET('IWP08'!Std10dot3Deposits, 4, 7, 1, 1))</f>
        <v/>
      </c>
    </row>
    <row r="820" spans="1:5">
      <c r="A820" s="160" t="s">
        <v>821</v>
      </c>
      <c r="B820" s="108">
        <f ca="1">IF(OFFSET('IWP08'!Std10dot3Deposits, 5, 0, 1, 1) =DATE(1900,1,0),DATE(1900,1,1),OFFSET('IWP08'!Std10dot3Deposits, 5, 0, 1, 1))</f>
        <v>1</v>
      </c>
      <c r="C820" s="116">
        <f ca="1">OFFSET('IWP08'!Std10dot3Deposits, 5, 2, 1, 1)</f>
        <v>0</v>
      </c>
      <c r="D820" s="159" t="str">
        <f ca="1">IF(OFFSET('IWP08'!Std10dot3Deposits, 5, 4, 1, 1) = 0, "", OFFSET('IWP08'!Std10dot3Deposits, 5, 4, 1, 1))</f>
        <v/>
      </c>
      <c r="E820" s="164" t="str">
        <f ca="1">IF(OFFSET('IWP08'!Std10dot3Deposits, 5, 7, 1, 1) = 0, "", OFFSET('IWP08'!Std10dot3Deposits, 5, 7, 1, 1))</f>
        <v/>
      </c>
    </row>
    <row r="821" spans="1:5">
      <c r="A821" s="160" t="s">
        <v>821</v>
      </c>
      <c r="B821" s="108">
        <f ca="1">IF(OFFSET('IWP08'!Std10dot3Deposits, 6, 0, 1, 1) =DATE(1900,1,0),DATE(1900,1,1),OFFSET('IWP08'!Std10dot3Deposits, 6, 0, 1, 1))</f>
        <v>1</v>
      </c>
      <c r="C821" s="116">
        <f ca="1">OFFSET('IWP08'!Std10dot3Deposits, 6, 2, 1, 1)</f>
        <v>0</v>
      </c>
      <c r="D821" s="159" t="str">
        <f ca="1">IF(OFFSET('IWP08'!Std10dot3Deposits, 6, 4, 1, 1) = 0, "", OFFSET('IWP08'!Std10dot3Deposits, 6, 4, 1, 1))</f>
        <v/>
      </c>
      <c r="E821" s="164" t="str">
        <f ca="1">IF(OFFSET('IWP08'!Std10dot3Deposits, 6, 7, 1, 1) = 0, "", OFFSET('IWP08'!Std10dot3Deposits, 6, 7, 1, 1))</f>
        <v/>
      </c>
    </row>
    <row r="822" spans="1:5">
      <c r="A822" s="160" t="s">
        <v>821</v>
      </c>
      <c r="B822" s="108">
        <f ca="1">IF(OFFSET('IWP08'!Std10dot3Deposits, 7, 0, 1, 1) =DATE(1900,1,0),DATE(1900,1,1),OFFSET('IWP08'!Std10dot3Deposits, 7, 0, 1, 1))</f>
        <v>1</v>
      </c>
      <c r="C822" s="116">
        <f ca="1">OFFSET('IWP08'!Std10dot3Deposits, 7, 2, 1, 1)</f>
        <v>0</v>
      </c>
      <c r="D822" s="159" t="str">
        <f ca="1">IF(OFFSET('IWP08'!Std10dot3Deposits, 7, 4, 1, 1) = 0, "", OFFSET('IWP08'!Std10dot3Deposits, 7, 4, 1, 1))</f>
        <v/>
      </c>
      <c r="E822" s="164" t="str">
        <f ca="1">IF(OFFSET('IWP08'!Std10dot3Deposits, 7, 7, 1, 1) = 0, "", OFFSET('IWP08'!Std10dot3Deposits, 7, 7, 1, 1))</f>
        <v/>
      </c>
    </row>
    <row r="823" spans="1:5">
      <c r="A823" s="160" t="s">
        <v>821</v>
      </c>
      <c r="B823" s="108">
        <f ca="1">IF(OFFSET('IWP08'!Std10dot3Deposits, 8, 0, 1, 1) =DATE(1900,1,0),DATE(1900,1,1),OFFSET('IWP08'!Std10dot3Deposits, 8, 0, 1, 1))</f>
        <v>1</v>
      </c>
      <c r="C823" s="116">
        <f ca="1">OFFSET('IWP08'!Std10dot3Deposits, 8, 2, 1, 1)</f>
        <v>0</v>
      </c>
      <c r="D823" s="159" t="str">
        <f ca="1">IF(OFFSET('IWP08'!Std10dot3Deposits, 8, 4, 1, 1) = 0, "", OFFSET('IWP08'!Std10dot3Deposits, 8, 4, 1, 1))</f>
        <v/>
      </c>
      <c r="E823" s="164" t="str">
        <f ca="1">IF(OFFSET('IWP08'!Std10dot3Deposits, 8, 7, 1, 1) = 0, "", OFFSET('IWP08'!Std10dot3Deposits, 8, 7, 1, 1))</f>
        <v/>
      </c>
    </row>
    <row r="824" spans="1:5" ht="15" thickBot="1">
      <c r="A824" s="161" t="s">
        <v>821</v>
      </c>
      <c r="B824" s="110">
        <f ca="1">IF(OFFSET('IWP08'!Std10dot3Deposits, 9, 0, 1, 1) =DATE(1900,1,0),DATE(1900,1,1),OFFSET('IWP08'!Std10dot3Deposits, 9, 0, 1, 1))</f>
        <v>1</v>
      </c>
      <c r="C824" s="117">
        <f ca="1">OFFSET('IWP08'!Std10dot3Deposits, 9, 2, 1, 1)</f>
        <v>0</v>
      </c>
      <c r="D824" s="155" t="str">
        <f ca="1">IF(OFFSET('IWP08'!Std10dot3Deposits, 9, 4, 1, 1) = 0, "", OFFSET('IWP08'!Std10dot3Deposits, 9, 4, 1, 1))</f>
        <v/>
      </c>
      <c r="E824" s="165" t="str">
        <f ca="1">IF(OFFSET('IWP08'!Std10dot3Deposits, 9, 7, 1, 1) = 0, "", OFFSET('IWP08'!Std10dot3Deposits, 9, 7, 1, 1))</f>
        <v/>
      </c>
    </row>
    <row r="826" spans="1:5" ht="15" thickBot="1">
      <c r="A826" t="s">
        <v>890</v>
      </c>
    </row>
    <row r="827" spans="1:5" s="95" customFormat="1">
      <c r="A827" s="96" t="s">
        <v>725</v>
      </c>
      <c r="B827" s="97" t="s">
        <v>823</v>
      </c>
      <c r="C827" s="97" t="s">
        <v>151</v>
      </c>
      <c r="D827" s="97" t="s">
        <v>314</v>
      </c>
      <c r="E827" s="98" t="s">
        <v>315</v>
      </c>
    </row>
    <row r="828" spans="1:5">
      <c r="A828" s="160" t="s">
        <v>747</v>
      </c>
      <c r="B828" s="108">
        <f ca="1">IF(OFFSET('IWP01'!Std10dot4Withdrawals, 0, 0, 1, 1) =DATE(1900,1,0),DATE(1900,1,1),OFFSET('IWP01'!Std10dot4Withdrawals, 0, 0, 1, 1))</f>
        <v>1</v>
      </c>
      <c r="C828" s="116">
        <f ca="1">OFFSET('IWP01'!Std10dot4Withdrawals, 0, 2, 1, 1)</f>
        <v>0</v>
      </c>
      <c r="D828" s="159" t="str">
        <f ca="1">IF(OFFSET('IWP01'!Std10dot4Withdrawals, 0, 4, 1, 1) = 0, "", OFFSET('IWP01'!Std10dot4Withdrawals, 0, 4, 1, 1))</f>
        <v/>
      </c>
      <c r="E828" s="164" t="str">
        <f ca="1">IF(OFFSET('IWP01'!Std10dot4Withdrawals, 0, 7, 1, 1) = 0, "", OFFSET('IWP01'!Std10dot4Withdrawals, 0, 7, 1, 1))</f>
        <v/>
      </c>
    </row>
    <row r="829" spans="1:5">
      <c r="A829" s="160" t="s">
        <v>747</v>
      </c>
      <c r="B829" s="108">
        <f ca="1">IF(OFFSET('IWP01'!Std10dot4Withdrawals, 1, 0, 1, 1) =DATE(1900,1,0),DATE(1900,1,1),OFFSET('IWP01'!Std10dot4Withdrawals, 1, 0, 1, 1))</f>
        <v>1</v>
      </c>
      <c r="C829" s="116">
        <f ca="1">OFFSET('IWP01'!Std10dot4Withdrawals, 1, 2, 1, 1)</f>
        <v>0</v>
      </c>
      <c r="D829" s="159" t="str">
        <f ca="1">IF(OFFSET('IWP01'!Std10dot4Withdrawals, 1, 4, 1, 1) = 0, "", OFFSET('IWP01'!Std10dot4Withdrawals, 1, 4, 1, 1))</f>
        <v/>
      </c>
      <c r="E829" s="164" t="str">
        <f ca="1">IF(OFFSET('IWP01'!Std10dot4Withdrawals, 1, 7, 1, 1) = 0, "", OFFSET('IWP01'!Std10dot4Withdrawals, 1, 7, 1, 1))</f>
        <v/>
      </c>
    </row>
    <row r="830" spans="1:5">
      <c r="A830" s="160" t="s">
        <v>747</v>
      </c>
      <c r="B830" s="108">
        <f ca="1">IF(OFFSET('IWP01'!Std10dot4Withdrawals, 2, 0, 1, 1) =DATE(1900,1,0),DATE(1900,1,1),OFFSET('IWP01'!Std10dot4Withdrawals, 2, 0, 1, 1))</f>
        <v>1</v>
      </c>
      <c r="C830" s="116">
        <f ca="1">OFFSET('IWP01'!Std10dot4Withdrawals, 2, 2, 1, 1)</f>
        <v>0</v>
      </c>
      <c r="D830" s="159" t="str">
        <f ca="1">IF(OFFSET('IWP01'!Std10dot4Withdrawals, 2, 4, 1, 1) = 0, "", OFFSET('IWP01'!Std10dot4Withdrawals, 2, 4, 1, 1))</f>
        <v/>
      </c>
      <c r="E830" s="164" t="str">
        <f ca="1">IF(OFFSET('IWP01'!Std10dot4Withdrawals, 2, 7, 1, 1) = 0, "", OFFSET('IWP01'!Std10dot4Withdrawals, 2, 7, 1, 1))</f>
        <v/>
      </c>
    </row>
    <row r="831" spans="1:5">
      <c r="A831" s="160" t="s">
        <v>747</v>
      </c>
      <c r="B831" s="108">
        <f ca="1">IF(OFFSET('IWP01'!Std10dot4Withdrawals, 3, 0, 1, 1) =DATE(1900,1,0),DATE(1900,1,1),OFFSET('IWP01'!Std10dot4Withdrawals, 3, 0, 1, 1))</f>
        <v>1</v>
      </c>
      <c r="C831" s="116">
        <f ca="1">OFFSET('IWP01'!Std10dot4Withdrawals, 3, 2, 1, 1)</f>
        <v>0</v>
      </c>
      <c r="D831" s="159" t="str">
        <f ca="1">IF(OFFSET('IWP01'!Std10dot4Withdrawals, 3, 4, 1, 1) = 0, "", OFFSET('IWP01'!Std10dot4Withdrawals, 3, 4, 1, 1))</f>
        <v/>
      </c>
      <c r="E831" s="164" t="str">
        <f ca="1">IF(OFFSET('IWP01'!Std10dot4Withdrawals, 3, 7, 1, 1) = 0, "", OFFSET('IWP01'!Std10dot4Withdrawals, 3, 7, 1, 1))</f>
        <v/>
      </c>
    </row>
    <row r="832" spans="1:5">
      <c r="A832" s="160" t="s">
        <v>747</v>
      </c>
      <c r="B832" s="108">
        <f ca="1">IF(OFFSET('IWP01'!Std10dot4Withdrawals, 4, 0, 1, 1) =DATE(1900,1,0),DATE(1900,1,1),OFFSET('IWP01'!Std10dot4Withdrawals, 4, 0, 1, 1))</f>
        <v>1</v>
      </c>
      <c r="C832" s="116">
        <f ca="1">OFFSET('IWP01'!Std10dot4Withdrawals, 4, 2, 1, 1)</f>
        <v>0</v>
      </c>
      <c r="D832" s="159" t="str">
        <f ca="1">IF(OFFSET('IWP01'!Std10dot4Withdrawals, 4, 4, 1, 1) = 0, "", OFFSET('IWP01'!Std10dot4Withdrawals, 4, 4, 1, 1))</f>
        <v/>
      </c>
      <c r="E832" s="164" t="str">
        <f ca="1">IF(OFFSET('IWP01'!Std10dot4Withdrawals, 4, 7, 1, 1) = 0, "", OFFSET('IWP01'!Std10dot4Withdrawals, 4, 7, 1, 1))</f>
        <v/>
      </c>
    </row>
    <row r="833" spans="1:5">
      <c r="A833" s="160" t="s">
        <v>747</v>
      </c>
      <c r="B833" s="108">
        <f ca="1">IF(OFFSET('IWP01'!Std10dot4Withdrawals, 5, 0, 1, 1) =DATE(1900,1,0),DATE(1900,1,1),OFFSET('IWP01'!Std10dot4Withdrawals, 5, 0, 1, 1))</f>
        <v>1</v>
      </c>
      <c r="C833" s="116">
        <f ca="1">OFFSET('IWP01'!Std10dot4Withdrawals, 5, 2, 1, 1)</f>
        <v>0</v>
      </c>
      <c r="D833" s="159" t="str">
        <f ca="1">IF(OFFSET('IWP01'!Std10dot4Withdrawals, 5, 4, 1, 1) = 0, "", OFFSET('IWP01'!Std10dot4Withdrawals, 5, 4, 1, 1))</f>
        <v/>
      </c>
      <c r="E833" s="164" t="str">
        <f ca="1">IF(OFFSET('IWP01'!Std10dot4Withdrawals, 5, 7, 1, 1) = 0, "", OFFSET('IWP01'!Std10dot4Withdrawals, 5, 7, 1, 1))</f>
        <v/>
      </c>
    </row>
    <row r="834" spans="1:5">
      <c r="A834" s="160" t="s">
        <v>747</v>
      </c>
      <c r="B834" s="108">
        <f ca="1">IF(OFFSET('IWP01'!Std10dot4Withdrawals, 6, 0, 1, 1) =DATE(1900,1,0),DATE(1900,1,1),OFFSET('IWP01'!Std10dot4Withdrawals, 6, 0, 1, 1))</f>
        <v>1</v>
      </c>
      <c r="C834" s="116">
        <f ca="1">OFFSET('IWP01'!Std10dot4Withdrawals, 6, 2, 1, 1)</f>
        <v>0</v>
      </c>
      <c r="D834" s="159" t="str">
        <f ca="1">IF(OFFSET('IWP01'!Std10dot4Withdrawals, 6, 4, 1, 1) = 0, "", OFFSET('IWP01'!Std10dot4Withdrawals, 6, 4, 1, 1))</f>
        <v/>
      </c>
      <c r="E834" s="164" t="str">
        <f ca="1">IF(OFFSET('IWP01'!Std10dot4Withdrawals, 6, 7, 1, 1) = 0, "", OFFSET('IWP01'!Std10dot4Withdrawals, 6, 7, 1, 1))</f>
        <v/>
      </c>
    </row>
    <row r="835" spans="1:5">
      <c r="A835" s="160" t="s">
        <v>747</v>
      </c>
      <c r="B835" s="108">
        <f ca="1">IF(OFFSET('IWP01'!Std10dot4Withdrawals, 7, 0, 1, 1) =DATE(1900,1,0),DATE(1900,1,1),OFFSET('IWP01'!Std10dot4Withdrawals, 7, 0, 1, 1))</f>
        <v>1</v>
      </c>
      <c r="C835" s="116">
        <f ca="1">OFFSET('IWP01'!Std10dot4Withdrawals, 7, 2, 1, 1)</f>
        <v>0</v>
      </c>
      <c r="D835" s="159" t="str">
        <f ca="1">IF(OFFSET('IWP01'!Std10dot4Withdrawals, 7, 4, 1, 1) = 0, "", OFFSET('IWP01'!Std10dot4Withdrawals, 7, 4, 1, 1))</f>
        <v/>
      </c>
      <c r="E835" s="164" t="str">
        <f ca="1">IF(OFFSET('IWP01'!Std10dot4Withdrawals, 7, 7, 1, 1) = 0, "", OFFSET('IWP01'!Std10dot4Withdrawals, 7, 7, 1, 1))</f>
        <v/>
      </c>
    </row>
    <row r="836" spans="1:5">
      <c r="A836" s="160" t="s">
        <v>747</v>
      </c>
      <c r="B836" s="108">
        <f ca="1">IF(OFFSET('IWP01'!Std10dot4Withdrawals, 8, 0, 1, 1) =DATE(1900,1,0),DATE(1900,1,1),OFFSET('IWP01'!Std10dot4Withdrawals, 8, 0, 1, 1))</f>
        <v>1</v>
      </c>
      <c r="C836" s="116">
        <f ca="1">OFFSET('IWP01'!Std10dot4Withdrawals, 8, 2, 1, 1)</f>
        <v>0</v>
      </c>
      <c r="D836" s="159" t="str">
        <f ca="1">IF(OFFSET('IWP01'!Std10dot4Withdrawals, 8, 4, 1, 1) = 0, "", OFFSET('IWP01'!Std10dot4Withdrawals, 8, 4, 1, 1))</f>
        <v/>
      </c>
      <c r="E836" s="164" t="str">
        <f ca="1">IF(OFFSET('IWP01'!Std10dot4Withdrawals, 8, 7, 1, 1) = 0, "", OFFSET('IWP01'!Std10dot4Withdrawals, 8, 7, 1, 1))</f>
        <v/>
      </c>
    </row>
    <row r="837" spans="1:5">
      <c r="A837" s="160" t="s">
        <v>747</v>
      </c>
      <c r="B837" s="108">
        <f ca="1">IF(OFFSET('IWP01'!Std10dot4Withdrawals, 9, 0, 1, 1) =DATE(1900,1,0),DATE(1900,1,1),OFFSET('IWP01'!Std10dot4Withdrawals, 9, 0, 1, 1))</f>
        <v>1</v>
      </c>
      <c r="C837" s="116">
        <f ca="1">OFFSET('IWP01'!Std10dot4Withdrawals, 9, 2, 1, 1)</f>
        <v>0</v>
      </c>
      <c r="D837" s="159" t="str">
        <f ca="1">IF(OFFSET('IWP01'!Std10dot4Withdrawals, 9, 4, 1, 1) = 0, "", OFFSET('IWP01'!Std10dot4Withdrawals, 9, 4, 1, 1))</f>
        <v/>
      </c>
      <c r="E837" s="164" t="str">
        <f ca="1">IF(OFFSET('IWP01'!Std10dot4Withdrawals, 9, 7, 1, 1) = 0, "", OFFSET('IWP01'!Std10dot4Withdrawals, 9, 7, 1, 1))</f>
        <v/>
      </c>
    </row>
    <row r="838" spans="1:5">
      <c r="A838" s="160" t="s">
        <v>747</v>
      </c>
      <c r="B838" s="108">
        <f ca="1">IF(OFFSET('IWP01'!Std10dot4Withdrawals, 10, 0, 1, 1) =DATE(1900,1,0),DATE(1900,1,1),OFFSET('IWP01'!Std10dot4Withdrawals, 10, 0, 1, 1))</f>
        <v>1</v>
      </c>
      <c r="C838" s="116">
        <f ca="1">OFFSET('IWP01'!Std10dot4Withdrawals, 10, 2, 1, 1)</f>
        <v>0</v>
      </c>
      <c r="D838" s="159" t="str">
        <f ca="1">IF(OFFSET('IWP01'!Std10dot4Withdrawals, 10, 4, 1, 1) = 0, "", OFFSET('IWP01'!Std10dot4Withdrawals, 10, 4, 1, 1))</f>
        <v/>
      </c>
      <c r="E838" s="164" t="str">
        <f ca="1">IF(OFFSET('IWP01'!Std10dot4Withdrawals, 10, 7, 1, 1) = 0, "", OFFSET('IWP01'!Std10dot4Withdrawals, 10, 7, 1, 1))</f>
        <v/>
      </c>
    </row>
    <row r="839" spans="1:5">
      <c r="A839" s="160" t="s">
        <v>747</v>
      </c>
      <c r="B839" s="108">
        <f ca="1">IF(OFFSET('IWP01'!Std10dot4Withdrawals, 11, 0, 1, 1) =DATE(1900,1,0),DATE(1900,1,1),OFFSET('IWP01'!Std10dot4Withdrawals, 11, 0, 1, 1))</f>
        <v>1</v>
      </c>
      <c r="C839" s="116">
        <f ca="1">OFFSET('IWP01'!Std10dot4Withdrawals, 11, 2, 1, 1)</f>
        <v>0</v>
      </c>
      <c r="D839" s="159" t="str">
        <f ca="1">IF(OFFSET('IWP01'!Std10dot4Withdrawals, 11, 4, 1, 1) = 0, "", OFFSET('IWP01'!Std10dot4Withdrawals, 11, 4, 1, 1))</f>
        <v/>
      </c>
      <c r="E839" s="164" t="str">
        <f ca="1">IF(OFFSET('IWP01'!Std10dot4Withdrawals, 11, 7, 1, 1) = 0, "", OFFSET('IWP01'!Std10dot4Withdrawals, 11, 7, 1, 1))</f>
        <v/>
      </c>
    </row>
    <row r="840" spans="1:5">
      <c r="A840" s="160" t="s">
        <v>747</v>
      </c>
      <c r="B840" s="108">
        <f ca="1">IF(OFFSET('IWP01'!Std10dot4Withdrawals, 12, 0, 1, 1) =DATE(1900,1,0),DATE(1900,1,1),OFFSET('IWP01'!Std10dot4Withdrawals, 12, 0, 1, 1))</f>
        <v>1</v>
      </c>
      <c r="C840" s="116">
        <f ca="1">OFFSET('IWP01'!Std10dot4Withdrawals, 12, 2, 1, 1)</f>
        <v>0</v>
      </c>
      <c r="D840" s="159" t="str">
        <f ca="1">IF(OFFSET('IWP01'!Std10dot4Withdrawals, 12, 4, 1, 1) = 0, "", OFFSET('IWP01'!Std10dot4Withdrawals, 12, 4, 1, 1))</f>
        <v/>
      </c>
      <c r="E840" s="164" t="str">
        <f ca="1">IF(OFFSET('IWP01'!Std10dot4Withdrawals, 12, 7, 1, 1) = 0, "", OFFSET('IWP01'!Std10dot4Withdrawals, 12, 7, 1, 1))</f>
        <v/>
      </c>
    </row>
    <row r="841" spans="1:5">
      <c r="A841" s="160" t="s">
        <v>747</v>
      </c>
      <c r="B841" s="108">
        <f ca="1">IF(OFFSET('IWP01'!Std10dot4Withdrawals, 13, 0, 1, 1) =DATE(1900,1,0),DATE(1900,1,1),OFFSET('IWP01'!Std10dot4Withdrawals, 13, 0, 1, 1))</f>
        <v>1</v>
      </c>
      <c r="C841" s="116">
        <f ca="1">OFFSET('IWP01'!Std10dot4Withdrawals, 13, 2, 1, 1)</f>
        <v>0</v>
      </c>
      <c r="D841" s="159" t="str">
        <f ca="1">IF(OFFSET('IWP01'!Std10dot4Withdrawals, 13, 4, 1, 1) = 0, "", OFFSET('IWP01'!Std10dot4Withdrawals, 13, 4, 1, 1))</f>
        <v/>
      </c>
      <c r="E841" s="164" t="str">
        <f ca="1">IF(OFFSET('IWP01'!Std10dot4Withdrawals, 13, 7, 1, 1) = 0, "", OFFSET('IWP01'!Std10dot4Withdrawals, 13, 7, 1, 1))</f>
        <v/>
      </c>
    </row>
    <row r="842" spans="1:5">
      <c r="A842" s="160" t="s">
        <v>747</v>
      </c>
      <c r="B842" s="108">
        <f ca="1">IF(OFFSET('IWP01'!Std10dot4Withdrawals, 14, 0, 1, 1) =DATE(1900,1,0),DATE(1900,1,1),OFFSET('IWP01'!Std10dot4Withdrawals, 14, 0, 1, 1))</f>
        <v>1</v>
      </c>
      <c r="C842" s="116">
        <f ca="1">OFFSET('IWP01'!Std10dot4Withdrawals, 14, 2, 1, 1)</f>
        <v>0</v>
      </c>
      <c r="D842" s="159" t="str">
        <f ca="1">IF(OFFSET('IWP01'!Std10dot4Withdrawals, 14, 4, 1, 1) = 0, "", OFFSET('IWP01'!Std10dot4Withdrawals, 14, 4, 1, 1))</f>
        <v/>
      </c>
      <c r="E842" s="164" t="str">
        <f ca="1">IF(OFFSET('IWP01'!Std10dot4Withdrawals, 14, 7, 1, 1) = 0, "", OFFSET('IWP01'!Std10dot4Withdrawals, 14, 7, 1, 1))</f>
        <v/>
      </c>
    </row>
    <row r="843" spans="1:5">
      <c r="A843" s="160" t="s">
        <v>747</v>
      </c>
      <c r="B843" s="108">
        <f ca="1">IF(OFFSET('IWP01'!Std10dot4Withdrawals, 15, 0, 1, 1) =DATE(1900,1,0),DATE(1900,1,1),OFFSET('IWP01'!Std10dot4Withdrawals, 15, 0, 1, 1))</f>
        <v>1</v>
      </c>
      <c r="C843" s="116">
        <f ca="1">OFFSET('IWP01'!Std10dot4Withdrawals, 15, 2, 1, 1)</f>
        <v>0</v>
      </c>
      <c r="D843" s="159" t="str">
        <f ca="1">IF(OFFSET('IWP01'!Std10dot4Withdrawals, 15, 4, 1, 1) = 0, "", OFFSET('IWP01'!Std10dot4Withdrawals, 15, 4, 1, 1))</f>
        <v/>
      </c>
      <c r="E843" s="164" t="str">
        <f ca="1">IF(OFFSET('IWP01'!Std10dot4Withdrawals, 15, 7, 1, 1) = 0, "", OFFSET('IWP01'!Std10dot4Withdrawals, 15, 7, 1, 1))</f>
        <v/>
      </c>
    </row>
    <row r="844" spans="1:5">
      <c r="A844" s="160" t="s">
        <v>747</v>
      </c>
      <c r="B844" s="108">
        <f ca="1">IF(OFFSET('IWP01'!Std10dot4Withdrawals, 16, 0, 1, 1) =DATE(1900,1,0),DATE(1900,1,1),OFFSET('IWP01'!Std10dot4Withdrawals, 16, 0, 1, 1))</f>
        <v>1</v>
      </c>
      <c r="C844" s="116">
        <f ca="1">OFFSET('IWP01'!Std10dot4Withdrawals, 16, 2, 1, 1)</f>
        <v>0</v>
      </c>
      <c r="D844" s="159" t="str">
        <f ca="1">IF(OFFSET('IWP01'!Std10dot4Withdrawals, 16, 4, 1, 1) = 0, "", OFFSET('IWP01'!Std10dot4Withdrawals, 16, 4, 1, 1))</f>
        <v/>
      </c>
      <c r="E844" s="164" t="str">
        <f ca="1">IF(OFFSET('IWP01'!Std10dot4Withdrawals, 16, 7, 1, 1) = 0, "", OFFSET('IWP01'!Std10dot4Withdrawals, 16, 7, 1, 1))</f>
        <v/>
      </c>
    </row>
    <row r="845" spans="1:5">
      <c r="A845" s="160" t="s">
        <v>747</v>
      </c>
      <c r="B845" s="108">
        <f ca="1">IF(OFFSET('IWP01'!Std10dot4Withdrawals, 17, 0, 1, 1) =DATE(1900,1,0),DATE(1900,1,1),OFFSET('IWP01'!Std10dot4Withdrawals, 17, 0, 1, 1))</f>
        <v>1</v>
      </c>
      <c r="C845" s="116">
        <f ca="1">OFFSET('IWP01'!Std10dot4Withdrawals, 17, 2, 1, 1)</f>
        <v>0</v>
      </c>
      <c r="D845" s="159" t="str">
        <f ca="1">IF(OFFSET('IWP01'!Std10dot4Withdrawals, 17, 4, 1, 1) = 0, "", OFFSET('IWP01'!Std10dot4Withdrawals, 17, 4, 1, 1))</f>
        <v/>
      </c>
      <c r="E845" s="164" t="str">
        <f ca="1">IF(OFFSET('IWP01'!Std10dot4Withdrawals, 17, 7, 1, 1) = 0, "", OFFSET('IWP01'!Std10dot4Withdrawals, 17, 7, 1, 1))</f>
        <v/>
      </c>
    </row>
    <row r="846" spans="1:5">
      <c r="A846" s="160" t="s">
        <v>747</v>
      </c>
      <c r="B846" s="108">
        <f ca="1">IF(OFFSET('IWP01'!Std10dot4Withdrawals, 18, 0, 1, 1) =DATE(1900,1,0),DATE(1900,1,1),OFFSET('IWP01'!Std10dot4Withdrawals, 18, 0, 1, 1))</f>
        <v>1</v>
      </c>
      <c r="C846" s="116">
        <f ca="1">OFFSET('IWP01'!Std10dot4Withdrawals, 18, 2, 1, 1)</f>
        <v>0</v>
      </c>
      <c r="D846" s="159" t="str">
        <f ca="1">IF(OFFSET('IWP01'!Std10dot4Withdrawals, 18, 4, 1, 1) = 0, "", OFFSET('IWP01'!Std10dot4Withdrawals, 18, 4, 1, 1))</f>
        <v/>
      </c>
      <c r="E846" s="164" t="str">
        <f ca="1">IF(OFFSET('IWP01'!Std10dot4Withdrawals, 18, 7, 1, 1) = 0, "", OFFSET('IWP01'!Std10dot4Withdrawals, 18, 7, 1, 1))</f>
        <v/>
      </c>
    </row>
    <row r="847" spans="1:5">
      <c r="A847" s="160" t="s">
        <v>747</v>
      </c>
      <c r="B847" s="108">
        <f ca="1">IF(OFFSET('IWP01'!Std10dot4Withdrawals, 19, 0, 1, 1) =DATE(1900,1,0),DATE(1900,1,1),OFFSET('IWP01'!Std10dot4Withdrawals, 19, 0, 1, 1))</f>
        <v>1</v>
      </c>
      <c r="C847" s="116">
        <f ca="1">OFFSET('IWP01'!Std10dot4Withdrawals, 19, 2, 1, 1)</f>
        <v>0</v>
      </c>
      <c r="D847" s="159" t="str">
        <f ca="1">IF(OFFSET('IWP01'!Std10dot4Withdrawals, 19, 4, 1, 1) = 0, "", OFFSET('IWP01'!Std10dot4Withdrawals, 19, 4, 1, 1))</f>
        <v/>
      </c>
      <c r="E847" s="164" t="str">
        <f ca="1">IF(OFFSET('IWP01'!Std10dot4Withdrawals, 19, 7, 1, 1) = 0, "", OFFSET('IWP01'!Std10dot4Withdrawals, 19, 7, 1, 1))</f>
        <v/>
      </c>
    </row>
    <row r="848" spans="1:5">
      <c r="A848" s="160" t="s">
        <v>748</v>
      </c>
      <c r="B848" s="108">
        <f ca="1">IF(OFFSET('IWP02'!Std10dot4Withdrawals, 0, 0, 1, 1) =DATE(1900,1,0),DATE(1900,1,1),OFFSET('IWP02'!Std10dot4Withdrawals, 0, 0, 1, 1))</f>
        <v>1</v>
      </c>
      <c r="C848" s="116">
        <f ca="1">OFFSET('IWP02'!Std10dot4Withdrawals, 0, 2, 1, 1)</f>
        <v>0</v>
      </c>
      <c r="D848" s="159" t="str">
        <f ca="1">IF(OFFSET('IWP02'!Std10dot4Withdrawals, 0, 4, 1, 1) = 0, "", OFFSET('IWP02'!Std10dot4Withdrawals, 0, 4, 1, 1))</f>
        <v/>
      </c>
      <c r="E848" s="164" t="str">
        <f ca="1">IF(OFFSET('IWP02'!Std10dot4Withdrawals, 0, 7, 1, 1) = 0, "", OFFSET('IWP02'!Std10dot4Withdrawals, 0, 7, 1, 1))</f>
        <v/>
      </c>
    </row>
    <row r="849" spans="1:5">
      <c r="A849" s="160" t="s">
        <v>748</v>
      </c>
      <c r="B849" s="108">
        <f ca="1">IF(OFFSET('IWP02'!Std10dot4Withdrawals, 1, 0, 1, 1) =DATE(1900,1,0),DATE(1900,1,1),OFFSET('IWP02'!Std10dot4Withdrawals, 1, 0, 1, 1))</f>
        <v>1</v>
      </c>
      <c r="C849" s="116">
        <f ca="1">OFFSET('IWP02'!Std10dot4Withdrawals, 1, 2, 1, 1)</f>
        <v>0</v>
      </c>
      <c r="D849" s="159" t="str">
        <f ca="1">IF(OFFSET('IWP02'!Std10dot4Withdrawals, 1, 4, 1, 1) = 0, "", OFFSET('IWP02'!Std10dot4Withdrawals, 1, 4, 1, 1))</f>
        <v/>
      </c>
      <c r="E849" s="164" t="str">
        <f ca="1">IF(OFFSET('IWP02'!Std10dot4Withdrawals, 1, 7, 1, 1) = 0, "", OFFSET('IWP02'!Std10dot4Withdrawals, 1, 7, 1, 1))</f>
        <v/>
      </c>
    </row>
    <row r="850" spans="1:5">
      <c r="A850" s="160" t="s">
        <v>748</v>
      </c>
      <c r="B850" s="108">
        <f ca="1">IF(OFFSET('IWP02'!Std10dot4Withdrawals, 2, 0, 1, 1) =DATE(1900,1,0),DATE(1900,1,1),OFFSET('IWP02'!Std10dot4Withdrawals, 2, 0, 1, 1))</f>
        <v>1</v>
      </c>
      <c r="C850" s="116">
        <f ca="1">OFFSET('IWP02'!Std10dot4Withdrawals, 2, 2, 1, 1)</f>
        <v>0</v>
      </c>
      <c r="D850" s="159" t="str">
        <f ca="1">IF(OFFSET('IWP02'!Std10dot4Withdrawals, 2, 4, 1, 1) = 0, "", OFFSET('IWP02'!Std10dot4Withdrawals, 2, 4, 1, 1))</f>
        <v/>
      </c>
      <c r="E850" s="164" t="str">
        <f ca="1">IF(OFFSET('IWP02'!Std10dot4Withdrawals, 2, 7, 1, 1) = 0, "", OFFSET('IWP02'!Std10dot4Withdrawals, 2, 7, 1, 1))</f>
        <v/>
      </c>
    </row>
    <row r="851" spans="1:5">
      <c r="A851" s="160" t="s">
        <v>748</v>
      </c>
      <c r="B851" s="108">
        <f ca="1">IF(OFFSET('IWP02'!Std10dot4Withdrawals, 3, 0, 1, 1) =DATE(1900,1,0),DATE(1900,1,1),OFFSET('IWP02'!Std10dot4Withdrawals, 3, 0, 1, 1))</f>
        <v>1</v>
      </c>
      <c r="C851" s="116">
        <f ca="1">OFFSET('IWP02'!Std10dot4Withdrawals, 3, 2, 1, 1)</f>
        <v>0</v>
      </c>
      <c r="D851" s="159" t="str">
        <f ca="1">IF(OFFSET('IWP02'!Std10dot4Withdrawals, 3, 4, 1, 1) = 0, "", OFFSET('IWP02'!Std10dot4Withdrawals, 3, 4, 1, 1))</f>
        <v/>
      </c>
      <c r="E851" s="164" t="str">
        <f ca="1">IF(OFFSET('IWP02'!Std10dot4Withdrawals, 3, 7, 1, 1) = 0, "", OFFSET('IWP02'!Std10dot4Withdrawals, 3, 7, 1, 1))</f>
        <v/>
      </c>
    </row>
    <row r="852" spans="1:5">
      <c r="A852" s="160" t="s">
        <v>748</v>
      </c>
      <c r="B852" s="108">
        <f ca="1">IF(OFFSET('IWP02'!Std10dot4Withdrawals, 4, 0, 1, 1) =DATE(1900,1,0),DATE(1900,1,1),OFFSET('IWP02'!Std10dot4Withdrawals, 4, 0, 1, 1))</f>
        <v>1</v>
      </c>
      <c r="C852" s="116">
        <f ca="1">OFFSET('IWP02'!Std10dot4Withdrawals, 4, 2, 1, 1)</f>
        <v>0</v>
      </c>
      <c r="D852" s="159" t="str">
        <f ca="1">IF(OFFSET('IWP02'!Std10dot4Withdrawals, 4, 4, 1, 1) = 0, "", OFFSET('IWP02'!Std10dot4Withdrawals, 4, 4, 1, 1))</f>
        <v/>
      </c>
      <c r="E852" s="164" t="str">
        <f ca="1">IF(OFFSET('IWP02'!Std10dot4Withdrawals, 4, 7, 1, 1) = 0, "", OFFSET('IWP02'!Std10dot4Withdrawals, 4, 7, 1, 1))</f>
        <v/>
      </c>
    </row>
    <row r="853" spans="1:5">
      <c r="A853" s="160" t="s">
        <v>748</v>
      </c>
      <c r="B853" s="108">
        <f ca="1">IF(OFFSET('IWP02'!Std10dot4Withdrawals, 5, 0, 1, 1) =DATE(1900,1,0),DATE(1900,1,1),OFFSET('IWP02'!Std10dot4Withdrawals, 5, 0, 1, 1))</f>
        <v>1</v>
      </c>
      <c r="C853" s="116">
        <f ca="1">OFFSET('IWP02'!Std10dot4Withdrawals, 5, 2, 1, 1)</f>
        <v>0</v>
      </c>
      <c r="D853" s="159" t="str">
        <f ca="1">IF(OFFSET('IWP02'!Std10dot4Withdrawals, 5, 4, 1, 1) = 0, "", OFFSET('IWP02'!Std10dot4Withdrawals, 5, 4, 1, 1))</f>
        <v/>
      </c>
      <c r="E853" s="164" t="str">
        <f ca="1">IF(OFFSET('IWP02'!Std10dot4Withdrawals, 5, 7, 1, 1) = 0, "", OFFSET('IWP02'!Std10dot4Withdrawals, 5, 7, 1, 1))</f>
        <v/>
      </c>
    </row>
    <row r="854" spans="1:5">
      <c r="A854" s="160" t="s">
        <v>748</v>
      </c>
      <c r="B854" s="108">
        <f ca="1">IF(OFFSET('IWP02'!Std10dot4Withdrawals, 6, 0, 1, 1) =DATE(1900,1,0),DATE(1900,1,1),OFFSET('IWP02'!Std10dot4Withdrawals, 6, 0, 1, 1))</f>
        <v>1</v>
      </c>
      <c r="C854" s="116">
        <f ca="1">OFFSET('IWP02'!Std10dot4Withdrawals, 6, 2, 1, 1)</f>
        <v>0</v>
      </c>
      <c r="D854" s="159" t="str">
        <f ca="1">IF(OFFSET('IWP02'!Std10dot4Withdrawals, 6, 4, 1, 1) = 0, "", OFFSET('IWP02'!Std10dot4Withdrawals, 6, 4, 1, 1))</f>
        <v/>
      </c>
      <c r="E854" s="164" t="str">
        <f ca="1">IF(OFFSET('IWP02'!Std10dot4Withdrawals, 6, 7, 1, 1) = 0, "", OFFSET('IWP02'!Std10dot4Withdrawals, 6, 7, 1, 1))</f>
        <v/>
      </c>
    </row>
    <row r="855" spans="1:5">
      <c r="A855" s="160" t="s">
        <v>748</v>
      </c>
      <c r="B855" s="108">
        <f ca="1">IF(OFFSET('IWP02'!Std10dot4Withdrawals, 7, 0, 1, 1) =DATE(1900,1,0),DATE(1900,1,1),OFFSET('IWP02'!Std10dot4Withdrawals, 7, 0, 1, 1))</f>
        <v>1</v>
      </c>
      <c r="C855" s="116">
        <f ca="1">OFFSET('IWP02'!Std10dot4Withdrawals, 7, 2, 1, 1)</f>
        <v>0</v>
      </c>
      <c r="D855" s="159" t="str">
        <f ca="1">IF(OFFSET('IWP02'!Std10dot4Withdrawals, 7, 4, 1, 1) = 0, "", OFFSET('IWP02'!Std10dot4Withdrawals, 7, 4, 1, 1))</f>
        <v/>
      </c>
      <c r="E855" s="164" t="str">
        <f ca="1">IF(OFFSET('IWP02'!Std10dot4Withdrawals, 7, 7, 1, 1) = 0, "", OFFSET('IWP02'!Std10dot4Withdrawals, 7, 7, 1, 1))</f>
        <v/>
      </c>
    </row>
    <row r="856" spans="1:5">
      <c r="A856" s="160" t="s">
        <v>748</v>
      </c>
      <c r="B856" s="108">
        <f ca="1">IF(OFFSET('IWP02'!Std10dot4Withdrawals, 8, 0, 1, 1) =DATE(1900,1,0),DATE(1900,1,1),OFFSET('IWP02'!Std10dot4Withdrawals, 8, 0, 1, 1))</f>
        <v>1</v>
      </c>
      <c r="C856" s="116">
        <f ca="1">OFFSET('IWP02'!Std10dot4Withdrawals, 8, 2, 1, 1)</f>
        <v>0</v>
      </c>
      <c r="D856" s="159" t="str">
        <f ca="1">IF(OFFSET('IWP02'!Std10dot4Withdrawals, 8, 4, 1, 1) = 0, "", OFFSET('IWP02'!Std10dot4Withdrawals, 8, 4, 1, 1))</f>
        <v/>
      </c>
      <c r="E856" s="164" t="str">
        <f ca="1">IF(OFFSET('IWP02'!Std10dot4Withdrawals, 8, 7, 1, 1) = 0, "", OFFSET('IWP02'!Std10dot4Withdrawals, 8, 7, 1, 1))</f>
        <v/>
      </c>
    </row>
    <row r="857" spans="1:5">
      <c r="A857" s="160" t="s">
        <v>748</v>
      </c>
      <c r="B857" s="108">
        <f ca="1">IF(OFFSET('IWP02'!Std10dot4Withdrawals, 9, 0, 1, 1) =DATE(1900,1,0),DATE(1900,1,1),OFFSET('IWP02'!Std10dot4Withdrawals, 9, 0, 1, 1))</f>
        <v>1</v>
      </c>
      <c r="C857" s="116">
        <f ca="1">OFFSET('IWP02'!Std10dot4Withdrawals, 9, 2, 1, 1)</f>
        <v>0</v>
      </c>
      <c r="D857" s="159" t="str">
        <f ca="1">IF(OFFSET('IWP02'!Std10dot4Withdrawals, 9, 4, 1, 1) = 0, "", OFFSET('IWP02'!Std10dot4Withdrawals, 9, 4, 1, 1))</f>
        <v/>
      </c>
      <c r="E857" s="164" t="str">
        <f ca="1">IF(OFFSET('IWP02'!Std10dot4Withdrawals, 9, 7, 1, 1) = 0, "", OFFSET('IWP02'!Std10dot4Withdrawals, 9, 7, 1, 1))</f>
        <v/>
      </c>
    </row>
    <row r="858" spans="1:5">
      <c r="A858" s="160" t="s">
        <v>748</v>
      </c>
      <c r="B858" s="108">
        <f ca="1">IF(OFFSET('IWP02'!Std10dot4Withdrawals, 10, 0, 1, 1) =DATE(1900,1,0),DATE(1900,1,1),OFFSET('IWP02'!Std10dot4Withdrawals, 10, 0, 1, 1))</f>
        <v>1</v>
      </c>
      <c r="C858" s="116">
        <f ca="1">OFFSET('IWP02'!Std10dot4Withdrawals, 10, 2, 1, 1)</f>
        <v>0</v>
      </c>
      <c r="D858" s="159" t="str">
        <f ca="1">IF(OFFSET('IWP02'!Std10dot4Withdrawals, 10, 4, 1, 1) = 0, "", OFFSET('IWP02'!Std10dot4Withdrawals, 10, 4, 1, 1))</f>
        <v/>
      </c>
      <c r="E858" s="164" t="str">
        <f ca="1">IF(OFFSET('IWP02'!Std10dot4Withdrawals, 10, 7, 1, 1) = 0, "", OFFSET('IWP02'!Std10dot4Withdrawals, 10, 7, 1, 1))</f>
        <v/>
      </c>
    </row>
    <row r="859" spans="1:5">
      <c r="A859" s="160" t="s">
        <v>748</v>
      </c>
      <c r="B859" s="108">
        <f ca="1">IF(OFFSET('IWP02'!Std10dot4Withdrawals, 11, 0, 1, 1) =DATE(1900,1,0),DATE(1900,1,1),OFFSET('IWP02'!Std10dot4Withdrawals, 11, 0, 1, 1))</f>
        <v>1</v>
      </c>
      <c r="C859" s="116">
        <f ca="1">OFFSET('IWP02'!Std10dot4Withdrawals, 11, 2, 1, 1)</f>
        <v>0</v>
      </c>
      <c r="D859" s="159" t="str">
        <f ca="1">IF(OFFSET('IWP02'!Std10dot4Withdrawals, 11, 4, 1, 1) = 0, "", OFFSET('IWP02'!Std10dot4Withdrawals, 11, 4, 1, 1))</f>
        <v/>
      </c>
      <c r="E859" s="164" t="str">
        <f ca="1">IF(OFFSET('IWP02'!Std10dot4Withdrawals, 11, 7, 1, 1) = 0, "", OFFSET('IWP02'!Std10dot4Withdrawals, 11, 7, 1, 1))</f>
        <v/>
      </c>
    </row>
    <row r="860" spans="1:5">
      <c r="A860" s="160" t="s">
        <v>748</v>
      </c>
      <c r="B860" s="108">
        <f ca="1">IF(OFFSET('IWP02'!Std10dot4Withdrawals, 12, 0, 1, 1) =DATE(1900,1,0),DATE(1900,1,1),OFFSET('IWP02'!Std10dot4Withdrawals, 12, 0, 1, 1))</f>
        <v>1</v>
      </c>
      <c r="C860" s="116">
        <f ca="1">OFFSET('IWP02'!Std10dot4Withdrawals, 12, 2, 1, 1)</f>
        <v>0</v>
      </c>
      <c r="D860" s="159" t="str">
        <f ca="1">IF(OFFSET('IWP02'!Std10dot4Withdrawals, 12, 4, 1, 1) = 0, "", OFFSET('IWP02'!Std10dot4Withdrawals, 12, 4, 1, 1))</f>
        <v/>
      </c>
      <c r="E860" s="164" t="str">
        <f ca="1">IF(OFFSET('IWP02'!Std10dot4Withdrawals, 12, 7, 1, 1) = 0, "", OFFSET('IWP02'!Std10dot4Withdrawals, 12, 7, 1, 1))</f>
        <v/>
      </c>
    </row>
    <row r="861" spans="1:5">
      <c r="A861" s="160" t="s">
        <v>748</v>
      </c>
      <c r="B861" s="108">
        <f ca="1">IF(OFFSET('IWP02'!Std10dot4Withdrawals, 13, 0, 1, 1) =DATE(1900,1,0),DATE(1900,1,1),OFFSET('IWP02'!Std10dot4Withdrawals, 13, 0, 1, 1))</f>
        <v>1</v>
      </c>
      <c r="C861" s="116">
        <f ca="1">OFFSET('IWP02'!Std10dot4Withdrawals, 13, 2, 1, 1)</f>
        <v>0</v>
      </c>
      <c r="D861" s="159" t="str">
        <f ca="1">IF(OFFSET('IWP02'!Std10dot4Withdrawals, 13, 4, 1, 1) = 0, "", OFFSET('IWP02'!Std10dot4Withdrawals, 13, 4, 1, 1))</f>
        <v/>
      </c>
      <c r="E861" s="164" t="str">
        <f ca="1">IF(OFFSET('IWP02'!Std10dot4Withdrawals, 13, 7, 1, 1) = 0, "", OFFSET('IWP02'!Std10dot4Withdrawals, 13, 7, 1, 1))</f>
        <v/>
      </c>
    </row>
    <row r="862" spans="1:5">
      <c r="A862" s="160" t="s">
        <v>748</v>
      </c>
      <c r="B862" s="108">
        <f ca="1">IF(OFFSET('IWP02'!Std10dot4Withdrawals, 14, 0, 1, 1) =DATE(1900,1,0),DATE(1900,1,1),OFFSET('IWP02'!Std10dot4Withdrawals, 14, 0, 1, 1))</f>
        <v>1</v>
      </c>
      <c r="C862" s="116">
        <f ca="1">OFFSET('IWP02'!Std10dot4Withdrawals, 14, 2, 1, 1)</f>
        <v>0</v>
      </c>
      <c r="D862" s="159" t="str">
        <f ca="1">IF(OFFSET('IWP02'!Std10dot4Withdrawals, 14, 4, 1, 1) = 0, "", OFFSET('IWP02'!Std10dot4Withdrawals, 14, 4, 1, 1))</f>
        <v/>
      </c>
      <c r="E862" s="164" t="str">
        <f ca="1">IF(OFFSET('IWP02'!Std10dot4Withdrawals, 14, 7, 1, 1) = 0, "", OFFSET('IWP02'!Std10dot4Withdrawals, 14, 7, 1, 1))</f>
        <v/>
      </c>
    </row>
    <row r="863" spans="1:5">
      <c r="A863" s="160" t="s">
        <v>748</v>
      </c>
      <c r="B863" s="108">
        <f ca="1">IF(OFFSET('IWP02'!Std10dot4Withdrawals, 15, 0, 1, 1) =DATE(1900,1,0),DATE(1900,1,1),OFFSET('IWP02'!Std10dot4Withdrawals, 15, 0, 1, 1))</f>
        <v>1</v>
      </c>
      <c r="C863" s="116">
        <f ca="1">OFFSET('IWP02'!Std10dot4Withdrawals, 15, 2, 1, 1)</f>
        <v>0</v>
      </c>
      <c r="D863" s="159" t="str">
        <f ca="1">IF(OFFSET('IWP02'!Std10dot4Withdrawals, 15, 4, 1, 1) = 0, "", OFFSET('IWP02'!Std10dot4Withdrawals, 15, 4, 1, 1))</f>
        <v/>
      </c>
      <c r="E863" s="164" t="str">
        <f ca="1">IF(OFFSET('IWP02'!Std10dot4Withdrawals, 15, 7, 1, 1) = 0, "", OFFSET('IWP02'!Std10dot4Withdrawals, 15, 7, 1, 1))</f>
        <v/>
      </c>
    </row>
    <row r="864" spans="1:5">
      <c r="A864" s="160" t="s">
        <v>748</v>
      </c>
      <c r="B864" s="108">
        <f ca="1">IF(OFFSET('IWP02'!Std10dot4Withdrawals, 16, 0, 1, 1) =DATE(1900,1,0),DATE(1900,1,1),OFFSET('IWP02'!Std10dot4Withdrawals, 16, 0, 1, 1))</f>
        <v>1</v>
      </c>
      <c r="C864" s="116">
        <f ca="1">OFFSET('IWP02'!Std10dot4Withdrawals, 16, 2, 1, 1)</f>
        <v>0</v>
      </c>
      <c r="D864" s="159" t="str">
        <f ca="1">IF(OFFSET('IWP02'!Std10dot4Withdrawals, 16, 4, 1, 1) = 0, "", OFFSET('IWP02'!Std10dot4Withdrawals, 16, 4, 1, 1))</f>
        <v/>
      </c>
      <c r="E864" s="164" t="str">
        <f ca="1">IF(OFFSET('IWP02'!Std10dot4Withdrawals, 16, 7, 1, 1) = 0, "", OFFSET('IWP02'!Std10dot4Withdrawals, 16, 7, 1, 1))</f>
        <v/>
      </c>
    </row>
    <row r="865" spans="1:5">
      <c r="A865" s="160" t="s">
        <v>748</v>
      </c>
      <c r="B865" s="108">
        <f ca="1">IF(OFFSET('IWP02'!Std10dot4Withdrawals, 17, 0, 1, 1) =DATE(1900,1,0),DATE(1900,1,1),OFFSET('IWP02'!Std10dot4Withdrawals, 17, 0, 1, 1))</f>
        <v>1</v>
      </c>
      <c r="C865" s="116">
        <f ca="1">OFFSET('IWP02'!Std10dot4Withdrawals, 17, 2, 1, 1)</f>
        <v>0</v>
      </c>
      <c r="D865" s="159" t="str">
        <f ca="1">IF(OFFSET('IWP02'!Std10dot4Withdrawals, 17, 4, 1, 1) = 0, "", OFFSET('IWP02'!Std10dot4Withdrawals, 17, 4, 1, 1))</f>
        <v/>
      </c>
      <c r="E865" s="164" t="str">
        <f ca="1">IF(OFFSET('IWP02'!Std10dot4Withdrawals, 17, 7, 1, 1) = 0, "", OFFSET('IWP02'!Std10dot4Withdrawals, 17, 7, 1, 1))</f>
        <v/>
      </c>
    </row>
    <row r="866" spans="1:5">
      <c r="A866" s="160" t="s">
        <v>748</v>
      </c>
      <c r="B866" s="108">
        <f ca="1">IF(OFFSET('IWP02'!Std10dot4Withdrawals, 18, 0, 1, 1) =DATE(1900,1,0),DATE(1900,1,1),OFFSET('IWP02'!Std10dot4Withdrawals, 18, 0, 1, 1))</f>
        <v>1</v>
      </c>
      <c r="C866" s="116">
        <f ca="1">OFFSET('IWP02'!Std10dot4Withdrawals, 18, 2, 1, 1)</f>
        <v>0</v>
      </c>
      <c r="D866" s="159" t="str">
        <f ca="1">IF(OFFSET('IWP02'!Std10dot4Withdrawals, 18, 4, 1, 1) = 0, "", OFFSET('IWP02'!Std10dot4Withdrawals, 18, 4, 1, 1))</f>
        <v/>
      </c>
      <c r="E866" s="164" t="str">
        <f ca="1">IF(OFFSET('IWP02'!Std10dot4Withdrawals, 18, 7, 1, 1) = 0, "", OFFSET('IWP02'!Std10dot4Withdrawals, 18, 7, 1, 1))</f>
        <v/>
      </c>
    </row>
    <row r="867" spans="1:5">
      <c r="A867" s="160" t="s">
        <v>748</v>
      </c>
      <c r="B867" s="108">
        <f ca="1">IF(OFFSET('IWP02'!Std10dot4Withdrawals, 19, 0, 1, 1) =DATE(1900,1,0),DATE(1900,1,1),OFFSET('IWP02'!Std10dot4Withdrawals, 19, 0, 1, 1))</f>
        <v>1</v>
      </c>
      <c r="C867" s="116">
        <f ca="1">OFFSET('IWP02'!Std10dot4Withdrawals, 19, 2, 1, 1)</f>
        <v>0</v>
      </c>
      <c r="D867" s="159" t="str">
        <f ca="1">IF(OFFSET('IWP02'!Std10dot4Withdrawals, 19, 4, 1, 1) = 0, "", OFFSET('IWP02'!Std10dot4Withdrawals, 19, 4, 1, 1))</f>
        <v/>
      </c>
      <c r="E867" s="164" t="str">
        <f ca="1">IF(OFFSET('IWP02'!Std10dot4Withdrawals, 19, 7, 1, 1) = 0, "", OFFSET('IWP02'!Std10dot4Withdrawals, 19, 7, 1, 1))</f>
        <v/>
      </c>
    </row>
    <row r="868" spans="1:5">
      <c r="A868" s="160" t="s">
        <v>749</v>
      </c>
      <c r="B868" s="108">
        <f ca="1">IF(OFFSET('IWP03'!Std10dot4Withdrawals, 0, 0, 1, 1) =DATE(1900,1,0),DATE(1900,1,1),OFFSET('IWP03'!Std10dot4Withdrawals, 0, 0, 1, 1))</f>
        <v>1</v>
      </c>
      <c r="C868" s="116">
        <f ca="1">OFFSET('IWP03'!Std10dot4Withdrawals, 0, 2, 1, 1)</f>
        <v>0</v>
      </c>
      <c r="D868" s="159" t="str">
        <f ca="1">IF(OFFSET('IWP03'!Std10dot4Withdrawals, 0, 4, 1, 1) = 0, "", OFFSET('IWP03'!Std10dot4Withdrawals, 0, 4, 1, 1))</f>
        <v/>
      </c>
      <c r="E868" s="164" t="str">
        <f ca="1">IF(OFFSET('IWP03'!Std10dot4Withdrawals, 0, 7, 1, 1) = 0, "", OFFSET('IWP03'!Std10dot4Withdrawals, 0, 7, 1, 1))</f>
        <v/>
      </c>
    </row>
    <row r="869" spans="1:5">
      <c r="A869" s="160" t="s">
        <v>749</v>
      </c>
      <c r="B869" s="108">
        <f ca="1">IF(OFFSET('IWP03'!Std10dot4Withdrawals, 1, 0, 1, 1) =DATE(1900,1,0),DATE(1900,1,1),OFFSET('IWP03'!Std10dot4Withdrawals, 1, 0, 1, 1))</f>
        <v>1</v>
      </c>
      <c r="C869" s="116">
        <f ca="1">OFFSET('IWP03'!Std10dot4Withdrawals, 1, 2, 1, 1)</f>
        <v>0</v>
      </c>
      <c r="D869" s="159" t="str">
        <f ca="1">IF(OFFSET('IWP03'!Std10dot4Withdrawals, 1, 4, 1, 1) = 0, "", OFFSET('IWP03'!Std10dot4Withdrawals, 1, 4, 1, 1))</f>
        <v/>
      </c>
      <c r="E869" s="164" t="str">
        <f ca="1">IF(OFFSET('IWP03'!Std10dot4Withdrawals, 1, 7, 1, 1) = 0, "", OFFSET('IWP03'!Std10dot4Withdrawals, 1, 7, 1, 1))</f>
        <v/>
      </c>
    </row>
    <row r="870" spans="1:5">
      <c r="A870" s="160" t="s">
        <v>749</v>
      </c>
      <c r="B870" s="108">
        <f ca="1">IF(OFFSET('IWP03'!Std10dot4Withdrawals, 2, 0, 1, 1) =DATE(1900,1,0),DATE(1900,1,1),OFFSET('IWP03'!Std10dot4Withdrawals, 2, 0, 1, 1))</f>
        <v>1</v>
      </c>
      <c r="C870" s="116">
        <f ca="1">OFFSET('IWP03'!Std10dot4Withdrawals, 2, 2, 1, 1)</f>
        <v>0</v>
      </c>
      <c r="D870" s="159" t="str">
        <f ca="1">IF(OFFSET('IWP03'!Std10dot4Withdrawals, 2, 4, 1, 1) = 0, "", OFFSET('IWP03'!Std10dot4Withdrawals, 2, 4, 1, 1))</f>
        <v/>
      </c>
      <c r="E870" s="164" t="str">
        <f ca="1">IF(OFFSET('IWP03'!Std10dot4Withdrawals, 2, 7, 1, 1) = 0, "", OFFSET('IWP03'!Std10dot4Withdrawals, 2, 7, 1, 1))</f>
        <v/>
      </c>
    </row>
    <row r="871" spans="1:5">
      <c r="A871" s="160" t="s">
        <v>749</v>
      </c>
      <c r="B871" s="108">
        <f ca="1">IF(OFFSET('IWP03'!Std10dot4Withdrawals, 3, 0, 1, 1) =DATE(1900,1,0),DATE(1900,1,1),OFFSET('IWP03'!Std10dot4Withdrawals, 3, 0, 1, 1))</f>
        <v>1</v>
      </c>
      <c r="C871" s="116">
        <f ca="1">OFFSET('IWP03'!Std10dot4Withdrawals, 3, 2, 1, 1)</f>
        <v>0</v>
      </c>
      <c r="D871" s="159" t="str">
        <f ca="1">IF(OFFSET('IWP03'!Std10dot4Withdrawals, 3, 4, 1, 1) = 0, "", OFFSET('IWP03'!Std10dot4Withdrawals, 3, 4, 1, 1))</f>
        <v/>
      </c>
      <c r="E871" s="164" t="str">
        <f ca="1">IF(OFFSET('IWP03'!Std10dot4Withdrawals, 3, 7, 1, 1) = 0, "", OFFSET('IWP03'!Std10dot4Withdrawals, 3, 7, 1, 1))</f>
        <v/>
      </c>
    </row>
    <row r="872" spans="1:5">
      <c r="A872" s="160" t="s">
        <v>749</v>
      </c>
      <c r="B872" s="108">
        <f ca="1">IF(OFFSET('IWP03'!Std10dot4Withdrawals, 4, 0, 1, 1) =DATE(1900,1,0),DATE(1900,1,1),OFFSET('IWP03'!Std10dot4Withdrawals, 4, 0, 1, 1))</f>
        <v>1</v>
      </c>
      <c r="C872" s="116">
        <f ca="1">OFFSET('IWP03'!Std10dot4Withdrawals, 4, 2, 1, 1)</f>
        <v>0</v>
      </c>
      <c r="D872" s="159" t="str">
        <f ca="1">IF(OFFSET('IWP03'!Std10dot4Withdrawals, 4, 4, 1, 1) = 0, "", OFFSET('IWP03'!Std10dot4Withdrawals, 4, 4, 1, 1))</f>
        <v/>
      </c>
      <c r="E872" s="164" t="str">
        <f ca="1">IF(OFFSET('IWP03'!Std10dot4Withdrawals, 4, 7, 1, 1) = 0, "", OFFSET('IWP03'!Std10dot4Withdrawals, 4, 7, 1, 1))</f>
        <v/>
      </c>
    </row>
    <row r="873" spans="1:5">
      <c r="A873" s="160" t="s">
        <v>749</v>
      </c>
      <c r="B873" s="108">
        <f ca="1">IF(OFFSET('IWP03'!Std10dot4Withdrawals, 5, 0, 1, 1) =DATE(1900,1,0),DATE(1900,1,1),OFFSET('IWP03'!Std10dot4Withdrawals, 5, 0, 1, 1))</f>
        <v>1</v>
      </c>
      <c r="C873" s="116">
        <f ca="1">OFFSET('IWP03'!Std10dot4Withdrawals, 5, 2, 1, 1)</f>
        <v>0</v>
      </c>
      <c r="D873" s="159" t="str">
        <f ca="1">IF(OFFSET('IWP03'!Std10dot4Withdrawals, 5, 4, 1, 1) = 0, "", OFFSET('IWP03'!Std10dot4Withdrawals, 5, 4, 1, 1))</f>
        <v/>
      </c>
      <c r="E873" s="164" t="str">
        <f ca="1">IF(OFFSET('IWP03'!Std10dot4Withdrawals, 5, 7, 1, 1) = 0, "", OFFSET('IWP03'!Std10dot4Withdrawals, 5, 7, 1, 1))</f>
        <v/>
      </c>
    </row>
    <row r="874" spans="1:5">
      <c r="A874" s="160" t="s">
        <v>749</v>
      </c>
      <c r="B874" s="108">
        <f ca="1">IF(OFFSET('IWP03'!Std10dot4Withdrawals, 6, 0, 1, 1) =DATE(1900,1,0),DATE(1900,1,1),OFFSET('IWP03'!Std10dot4Withdrawals, 6, 0, 1, 1))</f>
        <v>1</v>
      </c>
      <c r="C874" s="116">
        <f ca="1">OFFSET('IWP03'!Std10dot4Withdrawals, 6, 2, 1, 1)</f>
        <v>0</v>
      </c>
      <c r="D874" s="159" t="str">
        <f ca="1">IF(OFFSET('IWP03'!Std10dot4Withdrawals, 6, 4, 1, 1) = 0, "", OFFSET('IWP03'!Std10dot4Withdrawals, 6, 4, 1, 1))</f>
        <v/>
      </c>
      <c r="E874" s="164" t="str">
        <f ca="1">IF(OFFSET('IWP03'!Std10dot4Withdrawals, 6, 7, 1, 1) = 0, "", OFFSET('IWP03'!Std10dot4Withdrawals, 6, 7, 1, 1))</f>
        <v/>
      </c>
    </row>
    <row r="875" spans="1:5">
      <c r="A875" s="160" t="s">
        <v>749</v>
      </c>
      <c r="B875" s="108">
        <f ca="1">IF(OFFSET('IWP03'!Std10dot4Withdrawals, 7, 0, 1, 1) =DATE(1900,1,0),DATE(1900,1,1),OFFSET('IWP03'!Std10dot4Withdrawals, 7, 0, 1, 1))</f>
        <v>1</v>
      </c>
      <c r="C875" s="116">
        <f ca="1">OFFSET('IWP03'!Std10dot4Withdrawals, 7, 2, 1, 1)</f>
        <v>0</v>
      </c>
      <c r="D875" s="159" t="str">
        <f ca="1">IF(OFFSET('IWP03'!Std10dot4Withdrawals, 7, 4, 1, 1) = 0, "", OFFSET('IWP03'!Std10dot4Withdrawals, 7, 4, 1, 1))</f>
        <v/>
      </c>
      <c r="E875" s="164" t="str">
        <f ca="1">IF(OFFSET('IWP03'!Std10dot4Withdrawals, 7, 7, 1, 1) = 0, "", OFFSET('IWP03'!Std10dot4Withdrawals, 7, 7, 1, 1))</f>
        <v/>
      </c>
    </row>
    <row r="876" spans="1:5">
      <c r="A876" s="160" t="s">
        <v>749</v>
      </c>
      <c r="B876" s="108">
        <f ca="1">IF(OFFSET('IWP03'!Std10dot4Withdrawals, 8, 0, 1, 1) =DATE(1900,1,0),DATE(1900,1,1),OFFSET('IWP03'!Std10dot4Withdrawals, 8, 0, 1, 1))</f>
        <v>1</v>
      </c>
      <c r="C876" s="116">
        <f ca="1">OFFSET('IWP03'!Std10dot4Withdrawals, 8, 2, 1, 1)</f>
        <v>0</v>
      </c>
      <c r="D876" s="159" t="str">
        <f ca="1">IF(OFFSET('IWP03'!Std10dot4Withdrawals, 8, 4, 1, 1) = 0, "", OFFSET('IWP03'!Std10dot4Withdrawals, 8, 4, 1, 1))</f>
        <v/>
      </c>
      <c r="E876" s="164" t="str">
        <f ca="1">IF(OFFSET('IWP03'!Std10dot4Withdrawals, 8, 7, 1, 1) = 0, "", OFFSET('IWP03'!Std10dot4Withdrawals, 8, 7, 1, 1))</f>
        <v/>
      </c>
    </row>
    <row r="877" spans="1:5">
      <c r="A877" s="160" t="s">
        <v>749</v>
      </c>
      <c r="B877" s="108">
        <f ca="1">IF(OFFSET('IWP03'!Std10dot4Withdrawals, 9, 0, 1, 1) =DATE(1900,1,0),DATE(1900,1,1),OFFSET('IWP03'!Std10dot4Withdrawals, 9, 0, 1, 1))</f>
        <v>1</v>
      </c>
      <c r="C877" s="116">
        <f ca="1">OFFSET('IWP03'!Std10dot4Withdrawals, 9, 2, 1, 1)</f>
        <v>0</v>
      </c>
      <c r="D877" s="159" t="str">
        <f ca="1">IF(OFFSET('IWP03'!Std10dot4Withdrawals, 9, 4, 1, 1) = 0, "", OFFSET('IWP03'!Std10dot4Withdrawals, 9, 4, 1, 1))</f>
        <v/>
      </c>
      <c r="E877" s="164" t="str">
        <f ca="1">IF(OFFSET('IWP03'!Std10dot4Withdrawals, 9, 7, 1, 1) = 0, "", OFFSET('IWP03'!Std10dot4Withdrawals, 9, 7, 1, 1))</f>
        <v/>
      </c>
    </row>
    <row r="878" spans="1:5">
      <c r="A878" s="160" t="s">
        <v>749</v>
      </c>
      <c r="B878" s="108">
        <f ca="1">IF(OFFSET('IWP03'!Std10dot4Withdrawals, 10, 0, 1, 1) =DATE(1900,1,0),DATE(1900,1,1),OFFSET('IWP03'!Std10dot4Withdrawals, 10, 0, 1, 1))</f>
        <v>1</v>
      </c>
      <c r="C878" s="116">
        <f ca="1">OFFSET('IWP03'!Std10dot4Withdrawals, 10, 2, 1, 1)</f>
        <v>0</v>
      </c>
      <c r="D878" s="159" t="str">
        <f ca="1">IF(OFFSET('IWP03'!Std10dot4Withdrawals, 10, 4, 1, 1) = 0, "", OFFSET('IWP03'!Std10dot4Withdrawals, 10, 4, 1, 1))</f>
        <v/>
      </c>
      <c r="E878" s="164" t="str">
        <f ca="1">IF(OFFSET('IWP03'!Std10dot4Withdrawals, 10, 7, 1, 1) = 0, "", OFFSET('IWP03'!Std10dot4Withdrawals, 10, 7, 1, 1))</f>
        <v/>
      </c>
    </row>
    <row r="879" spans="1:5">
      <c r="A879" s="160" t="s">
        <v>749</v>
      </c>
      <c r="B879" s="108">
        <f ca="1">IF(OFFSET('IWP03'!Std10dot4Withdrawals, 11, 0, 1, 1) =DATE(1900,1,0),DATE(1900,1,1),OFFSET('IWP03'!Std10dot4Withdrawals, 11, 0, 1, 1))</f>
        <v>1</v>
      </c>
      <c r="C879" s="116">
        <f ca="1">OFFSET('IWP03'!Std10dot4Withdrawals, 11, 2, 1, 1)</f>
        <v>0</v>
      </c>
      <c r="D879" s="159" t="str">
        <f ca="1">IF(OFFSET('IWP03'!Std10dot4Withdrawals, 11, 4, 1, 1) = 0, "", OFFSET('IWP03'!Std10dot4Withdrawals, 11, 4, 1, 1))</f>
        <v/>
      </c>
      <c r="E879" s="164" t="str">
        <f ca="1">IF(OFFSET('IWP03'!Std10dot4Withdrawals, 11, 7, 1, 1) = 0, "", OFFSET('IWP03'!Std10dot4Withdrawals, 11, 7, 1, 1))</f>
        <v/>
      </c>
    </row>
    <row r="880" spans="1:5">
      <c r="A880" s="160" t="s">
        <v>749</v>
      </c>
      <c r="B880" s="108">
        <f ca="1">IF(OFFSET('IWP03'!Std10dot4Withdrawals, 12, 0, 1, 1) =DATE(1900,1,0),DATE(1900,1,1),OFFSET('IWP03'!Std10dot4Withdrawals, 12, 0, 1, 1))</f>
        <v>1</v>
      </c>
      <c r="C880" s="116">
        <f ca="1">OFFSET('IWP03'!Std10dot4Withdrawals, 12, 2, 1, 1)</f>
        <v>0</v>
      </c>
      <c r="D880" s="159" t="str">
        <f ca="1">IF(OFFSET('IWP03'!Std10dot4Withdrawals, 12, 4, 1, 1) = 0, "", OFFSET('IWP03'!Std10dot4Withdrawals, 12, 4, 1, 1))</f>
        <v/>
      </c>
      <c r="E880" s="164" t="str">
        <f ca="1">IF(OFFSET('IWP03'!Std10dot4Withdrawals, 12, 7, 1, 1) = 0, "", OFFSET('IWP03'!Std10dot4Withdrawals, 12, 7, 1, 1))</f>
        <v/>
      </c>
    </row>
    <row r="881" spans="1:5">
      <c r="A881" s="160" t="s">
        <v>749</v>
      </c>
      <c r="B881" s="108">
        <f ca="1">IF(OFFSET('IWP03'!Std10dot4Withdrawals, 13, 0, 1, 1) =DATE(1900,1,0),DATE(1900,1,1),OFFSET('IWP03'!Std10dot4Withdrawals, 13, 0, 1, 1))</f>
        <v>1</v>
      </c>
      <c r="C881" s="116">
        <f ca="1">OFFSET('IWP03'!Std10dot4Withdrawals, 13, 2, 1, 1)</f>
        <v>0</v>
      </c>
      <c r="D881" s="159" t="str">
        <f ca="1">IF(OFFSET('IWP03'!Std10dot4Withdrawals, 13, 4, 1, 1) = 0, "", OFFSET('IWP03'!Std10dot4Withdrawals, 13, 4, 1, 1))</f>
        <v/>
      </c>
      <c r="E881" s="164" t="str">
        <f ca="1">IF(OFFSET('IWP03'!Std10dot4Withdrawals, 13, 7, 1, 1) = 0, "", OFFSET('IWP03'!Std10dot4Withdrawals, 13, 7, 1, 1))</f>
        <v/>
      </c>
    </row>
    <row r="882" spans="1:5">
      <c r="A882" s="160" t="s">
        <v>749</v>
      </c>
      <c r="B882" s="108">
        <f ca="1">IF(OFFSET('IWP03'!Std10dot4Withdrawals, 14, 0, 1, 1) =DATE(1900,1,0),DATE(1900,1,1),OFFSET('IWP03'!Std10dot4Withdrawals, 14, 0, 1, 1))</f>
        <v>1</v>
      </c>
      <c r="C882" s="116">
        <f ca="1">OFFSET('IWP03'!Std10dot4Withdrawals, 14, 2, 1, 1)</f>
        <v>0</v>
      </c>
      <c r="D882" s="159" t="str">
        <f ca="1">IF(OFFSET('IWP03'!Std10dot4Withdrawals, 14, 4, 1, 1) = 0, "", OFFSET('IWP03'!Std10dot4Withdrawals, 14, 4, 1, 1))</f>
        <v/>
      </c>
      <c r="E882" s="164" t="str">
        <f ca="1">IF(OFFSET('IWP03'!Std10dot4Withdrawals, 14, 7, 1, 1) = 0, "", OFFSET('IWP03'!Std10dot4Withdrawals, 14, 7, 1, 1))</f>
        <v/>
      </c>
    </row>
    <row r="883" spans="1:5">
      <c r="A883" s="160" t="s">
        <v>749</v>
      </c>
      <c r="B883" s="108">
        <f ca="1">IF(OFFSET('IWP03'!Std10dot4Withdrawals, 15, 0, 1, 1) =DATE(1900,1,0),DATE(1900,1,1),OFFSET('IWP03'!Std10dot4Withdrawals, 15, 0, 1, 1))</f>
        <v>1</v>
      </c>
      <c r="C883" s="116">
        <f ca="1">OFFSET('IWP03'!Std10dot4Withdrawals, 15, 2, 1, 1)</f>
        <v>0</v>
      </c>
      <c r="D883" s="159" t="str">
        <f ca="1">IF(OFFSET('IWP03'!Std10dot4Withdrawals, 15, 4, 1, 1) = 0, "", OFFSET('IWP03'!Std10dot4Withdrawals, 15, 4, 1, 1))</f>
        <v/>
      </c>
      <c r="E883" s="164" t="str">
        <f ca="1">IF(OFFSET('IWP03'!Std10dot4Withdrawals, 15, 7, 1, 1) = 0, "", OFFSET('IWP03'!Std10dot4Withdrawals, 15, 7, 1, 1))</f>
        <v/>
      </c>
    </row>
    <row r="884" spans="1:5">
      <c r="A884" s="160" t="s">
        <v>749</v>
      </c>
      <c r="B884" s="108">
        <f ca="1">IF(OFFSET('IWP03'!Std10dot4Withdrawals, 16, 0, 1, 1) =DATE(1900,1,0),DATE(1900,1,1),OFFSET('IWP03'!Std10dot4Withdrawals, 16, 0, 1, 1))</f>
        <v>1</v>
      </c>
      <c r="C884" s="116">
        <f ca="1">OFFSET('IWP03'!Std10dot4Withdrawals, 16, 2, 1, 1)</f>
        <v>0</v>
      </c>
      <c r="D884" s="159" t="str">
        <f ca="1">IF(OFFSET('IWP03'!Std10dot4Withdrawals, 16, 4, 1, 1) = 0, "", OFFSET('IWP03'!Std10dot4Withdrawals, 16, 4, 1, 1))</f>
        <v/>
      </c>
      <c r="E884" s="164" t="str">
        <f ca="1">IF(OFFSET('IWP03'!Std10dot4Withdrawals, 16, 7, 1, 1) = 0, "", OFFSET('IWP03'!Std10dot4Withdrawals, 16, 7, 1, 1))</f>
        <v/>
      </c>
    </row>
    <row r="885" spans="1:5">
      <c r="A885" s="160" t="s">
        <v>749</v>
      </c>
      <c r="B885" s="108">
        <f ca="1">IF(OFFSET('IWP03'!Std10dot4Withdrawals, 17, 0, 1, 1) =DATE(1900,1,0),DATE(1900,1,1),OFFSET('IWP03'!Std10dot4Withdrawals, 17, 0, 1, 1))</f>
        <v>1</v>
      </c>
      <c r="C885" s="116">
        <f ca="1">OFFSET('IWP03'!Std10dot4Withdrawals, 17, 2, 1, 1)</f>
        <v>0</v>
      </c>
      <c r="D885" s="159" t="str">
        <f ca="1">IF(OFFSET('IWP03'!Std10dot4Withdrawals, 17, 4, 1, 1) = 0, "", OFFSET('IWP03'!Std10dot4Withdrawals, 17, 4, 1, 1))</f>
        <v/>
      </c>
      <c r="E885" s="164" t="str">
        <f ca="1">IF(OFFSET('IWP03'!Std10dot4Withdrawals, 17, 7, 1, 1) = 0, "", OFFSET('IWP03'!Std10dot4Withdrawals, 17, 7, 1, 1))</f>
        <v/>
      </c>
    </row>
    <row r="886" spans="1:5">
      <c r="A886" s="160" t="s">
        <v>749</v>
      </c>
      <c r="B886" s="108">
        <f ca="1">IF(OFFSET('IWP03'!Std10dot4Withdrawals, 18, 0, 1, 1) =DATE(1900,1,0),DATE(1900,1,1),OFFSET('IWP03'!Std10dot4Withdrawals, 18, 0, 1, 1))</f>
        <v>1</v>
      </c>
      <c r="C886" s="116">
        <f ca="1">OFFSET('IWP03'!Std10dot4Withdrawals, 18, 2, 1, 1)</f>
        <v>0</v>
      </c>
      <c r="D886" s="159" t="str">
        <f ca="1">IF(OFFSET('IWP03'!Std10dot4Withdrawals, 18, 4, 1, 1) = 0, "", OFFSET('IWP03'!Std10dot4Withdrawals, 18, 4, 1, 1))</f>
        <v/>
      </c>
      <c r="E886" s="164" t="str">
        <f ca="1">IF(OFFSET('IWP03'!Std10dot4Withdrawals, 18, 7, 1, 1) = 0, "", OFFSET('IWP03'!Std10dot4Withdrawals, 18, 7, 1, 1))</f>
        <v/>
      </c>
    </row>
    <row r="887" spans="1:5">
      <c r="A887" s="160" t="s">
        <v>749</v>
      </c>
      <c r="B887" s="108">
        <f ca="1">IF(OFFSET('IWP03'!Std10dot4Withdrawals, 19, 0, 1, 1) =DATE(1900,1,0),DATE(1900,1,1),OFFSET('IWP03'!Std10dot4Withdrawals, 19, 0, 1, 1))</f>
        <v>1</v>
      </c>
      <c r="C887" s="116">
        <f ca="1">OFFSET('IWP03'!Std10dot4Withdrawals, 19, 2, 1, 1)</f>
        <v>0</v>
      </c>
      <c r="D887" s="159" t="str">
        <f ca="1">IF(OFFSET('IWP03'!Std10dot4Withdrawals, 19, 4, 1, 1) = 0, "", OFFSET('IWP03'!Std10dot4Withdrawals, 19, 4, 1, 1))</f>
        <v/>
      </c>
      <c r="E887" s="164" t="str">
        <f ca="1">IF(OFFSET('IWP03'!Std10dot4Withdrawals, 19, 7, 1, 1) = 0, "", OFFSET('IWP03'!Std10dot4Withdrawals, 19, 7, 1, 1))</f>
        <v/>
      </c>
    </row>
    <row r="888" spans="1:5">
      <c r="A888" s="160" t="s">
        <v>817</v>
      </c>
      <c r="B888" s="108">
        <f ca="1">IF(OFFSET('IWP04'!Std10dot4Withdrawals, 0, 0, 1, 1) =DATE(1900,1,0),DATE(1900,1,1),OFFSET('IWP04'!Std10dot4Withdrawals, 0, 0, 1, 1))</f>
        <v>1</v>
      </c>
      <c r="C888" s="116">
        <f ca="1">OFFSET('IWP04'!Std10dot4Withdrawals, 0, 2, 1, 1)</f>
        <v>0</v>
      </c>
      <c r="D888" s="159" t="str">
        <f ca="1">IF(OFFSET('IWP04'!Std10dot4Withdrawals, 0, 4, 1, 1) = 0, "", OFFSET('IWP04'!Std10dot4Withdrawals, 0, 4, 1, 1))</f>
        <v/>
      </c>
      <c r="E888" s="164" t="str">
        <f ca="1">IF(OFFSET('IWP04'!Std10dot4Withdrawals, 0, 7, 1, 1) = 0, "", OFFSET('IWP04'!Std10dot4Withdrawals, 0, 7, 1, 1))</f>
        <v/>
      </c>
    </row>
    <row r="889" spans="1:5">
      <c r="A889" s="160" t="s">
        <v>817</v>
      </c>
      <c r="B889" s="108">
        <f ca="1">IF(OFFSET('IWP04'!Std10dot4Withdrawals, 1, 0, 1, 1) =DATE(1900,1,0),DATE(1900,1,1),OFFSET('IWP04'!Std10dot4Withdrawals, 1, 0, 1, 1))</f>
        <v>1</v>
      </c>
      <c r="C889" s="116">
        <f ca="1">OFFSET('IWP04'!Std10dot4Withdrawals, 1, 2, 1, 1)</f>
        <v>0</v>
      </c>
      <c r="D889" s="159" t="str">
        <f ca="1">IF(OFFSET('IWP04'!Std10dot4Withdrawals, 1, 4, 1, 1) = 0, "", OFFSET('IWP04'!Std10dot4Withdrawals, 1, 4, 1, 1))</f>
        <v/>
      </c>
      <c r="E889" s="164" t="str">
        <f ca="1">IF(OFFSET('IWP04'!Std10dot4Withdrawals, 1, 7, 1, 1) = 0, "", OFFSET('IWP04'!Std10dot4Withdrawals, 1, 7, 1, 1))</f>
        <v/>
      </c>
    </row>
    <row r="890" spans="1:5">
      <c r="A890" s="160" t="s">
        <v>817</v>
      </c>
      <c r="B890" s="108">
        <f ca="1">IF(OFFSET('IWP04'!Std10dot4Withdrawals, 2, 0, 1, 1) =DATE(1900,1,0),DATE(1900,1,1),OFFSET('IWP04'!Std10dot4Withdrawals, 2, 0, 1, 1))</f>
        <v>1</v>
      </c>
      <c r="C890" s="116">
        <f ca="1">OFFSET('IWP04'!Std10dot4Withdrawals, 2, 2, 1, 1)</f>
        <v>0</v>
      </c>
      <c r="D890" s="159" t="str">
        <f ca="1">IF(OFFSET('IWP04'!Std10dot4Withdrawals, 2, 4, 1, 1) = 0, "", OFFSET('IWP04'!Std10dot4Withdrawals, 2, 4, 1, 1))</f>
        <v/>
      </c>
      <c r="E890" s="164" t="str">
        <f ca="1">IF(OFFSET('IWP04'!Std10dot4Withdrawals, 2, 7, 1, 1) = 0, "", OFFSET('IWP04'!Std10dot4Withdrawals, 2, 7, 1, 1))</f>
        <v/>
      </c>
    </row>
    <row r="891" spans="1:5">
      <c r="A891" s="160" t="s">
        <v>817</v>
      </c>
      <c r="B891" s="108">
        <f ca="1">IF(OFFSET('IWP04'!Std10dot4Withdrawals, 3, 0, 1, 1) =DATE(1900,1,0),DATE(1900,1,1),OFFSET('IWP04'!Std10dot4Withdrawals, 3, 0, 1, 1))</f>
        <v>1</v>
      </c>
      <c r="C891" s="116">
        <f ca="1">OFFSET('IWP04'!Std10dot4Withdrawals, 3, 2, 1, 1)</f>
        <v>0</v>
      </c>
      <c r="D891" s="159" t="str">
        <f ca="1">IF(OFFSET('IWP04'!Std10dot4Withdrawals, 3, 4, 1, 1) = 0, "", OFFSET('IWP04'!Std10dot4Withdrawals, 3, 4, 1, 1))</f>
        <v/>
      </c>
      <c r="E891" s="164" t="str">
        <f ca="1">IF(OFFSET('IWP04'!Std10dot4Withdrawals, 3, 7, 1, 1) = 0, "", OFFSET('IWP04'!Std10dot4Withdrawals, 3, 7, 1, 1))</f>
        <v/>
      </c>
    </row>
    <row r="892" spans="1:5">
      <c r="A892" s="160" t="s">
        <v>817</v>
      </c>
      <c r="B892" s="108">
        <f ca="1">IF(OFFSET('IWP04'!Std10dot4Withdrawals, 4, 0, 1, 1) =DATE(1900,1,0),DATE(1900,1,1),OFFSET('IWP04'!Std10dot4Withdrawals, 4, 0, 1, 1))</f>
        <v>1</v>
      </c>
      <c r="C892" s="116">
        <f ca="1">OFFSET('IWP04'!Std10dot4Withdrawals, 4, 2, 1, 1)</f>
        <v>0</v>
      </c>
      <c r="D892" s="159" t="str">
        <f ca="1">IF(OFFSET('IWP04'!Std10dot4Withdrawals, 4, 4, 1, 1) = 0, "", OFFSET('IWP04'!Std10dot4Withdrawals, 4, 4, 1, 1))</f>
        <v/>
      </c>
      <c r="E892" s="164" t="str">
        <f ca="1">IF(OFFSET('IWP04'!Std10dot4Withdrawals, 4, 7, 1, 1) = 0, "", OFFSET('IWP04'!Std10dot4Withdrawals, 4, 7, 1, 1))</f>
        <v/>
      </c>
    </row>
    <row r="893" spans="1:5">
      <c r="A893" s="160" t="s">
        <v>817</v>
      </c>
      <c r="B893" s="108">
        <f ca="1">IF(OFFSET('IWP04'!Std10dot4Withdrawals, 5, 0, 1, 1) =DATE(1900,1,0),DATE(1900,1,1),OFFSET('IWP04'!Std10dot4Withdrawals, 5, 0, 1, 1))</f>
        <v>1</v>
      </c>
      <c r="C893" s="116">
        <f ca="1">OFFSET('IWP04'!Std10dot4Withdrawals, 5, 2, 1, 1)</f>
        <v>0</v>
      </c>
      <c r="D893" s="159" t="str">
        <f ca="1">IF(OFFSET('IWP04'!Std10dot4Withdrawals, 5, 4, 1, 1) = 0, "", OFFSET('IWP04'!Std10dot4Withdrawals, 5, 4, 1, 1))</f>
        <v/>
      </c>
      <c r="E893" s="164" t="str">
        <f ca="1">IF(OFFSET('IWP04'!Std10dot4Withdrawals, 5, 7, 1, 1) = 0, "", OFFSET('IWP04'!Std10dot4Withdrawals, 5, 7, 1, 1))</f>
        <v/>
      </c>
    </row>
    <row r="894" spans="1:5">
      <c r="A894" s="160" t="s">
        <v>817</v>
      </c>
      <c r="B894" s="108">
        <f ca="1">IF(OFFSET('IWP04'!Std10dot4Withdrawals, 6, 0, 1, 1) =DATE(1900,1,0),DATE(1900,1,1),OFFSET('IWP04'!Std10dot4Withdrawals, 6, 0, 1, 1))</f>
        <v>1</v>
      </c>
      <c r="C894" s="116">
        <f ca="1">OFFSET('IWP04'!Std10dot4Withdrawals, 6, 2, 1, 1)</f>
        <v>0</v>
      </c>
      <c r="D894" s="159" t="str">
        <f ca="1">IF(OFFSET('IWP04'!Std10dot4Withdrawals, 6, 4, 1, 1) = 0, "", OFFSET('IWP04'!Std10dot4Withdrawals, 6, 4, 1, 1))</f>
        <v/>
      </c>
      <c r="E894" s="164" t="str">
        <f ca="1">IF(OFFSET('IWP04'!Std10dot4Withdrawals, 6, 7, 1, 1) = 0, "", OFFSET('IWP04'!Std10dot4Withdrawals, 6, 7, 1, 1))</f>
        <v/>
      </c>
    </row>
    <row r="895" spans="1:5">
      <c r="A895" s="160" t="s">
        <v>817</v>
      </c>
      <c r="B895" s="108">
        <f ca="1">IF(OFFSET('IWP04'!Std10dot4Withdrawals, 7, 0, 1, 1) =DATE(1900,1,0),DATE(1900,1,1),OFFSET('IWP04'!Std10dot4Withdrawals, 7, 0, 1, 1))</f>
        <v>1</v>
      </c>
      <c r="C895" s="116">
        <f ca="1">OFFSET('IWP04'!Std10dot4Withdrawals, 7, 2, 1, 1)</f>
        <v>0</v>
      </c>
      <c r="D895" s="159" t="str">
        <f ca="1">IF(OFFSET('IWP04'!Std10dot4Withdrawals, 7, 4, 1, 1) = 0, "", OFFSET('IWP04'!Std10dot4Withdrawals, 7, 4, 1, 1))</f>
        <v/>
      </c>
      <c r="E895" s="164" t="str">
        <f ca="1">IF(OFFSET('IWP04'!Std10dot4Withdrawals, 7, 7, 1, 1) = 0, "", OFFSET('IWP04'!Std10dot4Withdrawals, 7, 7, 1, 1))</f>
        <v/>
      </c>
    </row>
    <row r="896" spans="1:5">
      <c r="A896" s="160" t="s">
        <v>817</v>
      </c>
      <c r="B896" s="108">
        <f ca="1">IF(OFFSET('IWP04'!Std10dot4Withdrawals, 8, 0, 1, 1) =DATE(1900,1,0),DATE(1900,1,1),OFFSET('IWP04'!Std10dot4Withdrawals, 8, 0, 1, 1))</f>
        <v>1</v>
      </c>
      <c r="C896" s="116">
        <f ca="1">OFFSET('IWP04'!Std10dot4Withdrawals, 8, 2, 1, 1)</f>
        <v>0</v>
      </c>
      <c r="D896" s="159" t="str">
        <f ca="1">IF(OFFSET('IWP04'!Std10dot4Withdrawals, 8, 4, 1, 1) = 0, "", OFFSET('IWP04'!Std10dot4Withdrawals, 8, 4, 1, 1))</f>
        <v/>
      </c>
      <c r="E896" s="164" t="str">
        <f ca="1">IF(OFFSET('IWP04'!Std10dot4Withdrawals, 8, 7, 1, 1) = 0, "", OFFSET('IWP04'!Std10dot4Withdrawals, 8, 7, 1, 1))</f>
        <v/>
      </c>
    </row>
    <row r="897" spans="1:5">
      <c r="A897" s="160" t="s">
        <v>817</v>
      </c>
      <c r="B897" s="108">
        <f ca="1">IF(OFFSET('IWP04'!Std10dot4Withdrawals, 9, 0, 1, 1) =DATE(1900,1,0),DATE(1900,1,1),OFFSET('IWP04'!Std10dot4Withdrawals, 9, 0, 1, 1))</f>
        <v>1</v>
      </c>
      <c r="C897" s="116">
        <f ca="1">OFFSET('IWP04'!Std10dot4Withdrawals, 9, 2, 1, 1)</f>
        <v>0</v>
      </c>
      <c r="D897" s="159" t="str">
        <f ca="1">IF(OFFSET('IWP04'!Std10dot4Withdrawals, 9, 4, 1, 1) = 0, "", OFFSET('IWP04'!Std10dot4Withdrawals, 9, 4, 1, 1))</f>
        <v/>
      </c>
      <c r="E897" s="164" t="str">
        <f ca="1">IF(OFFSET('IWP04'!Std10dot4Withdrawals, 9, 7, 1, 1) = 0, "", OFFSET('IWP04'!Std10dot4Withdrawals, 9, 7, 1, 1))</f>
        <v/>
      </c>
    </row>
    <row r="898" spans="1:5">
      <c r="A898" s="160" t="s">
        <v>817</v>
      </c>
      <c r="B898" s="108">
        <f ca="1">IF(OFFSET('IWP04'!Std10dot4Withdrawals, 10, 0, 1, 1) =DATE(1900,1,0),DATE(1900,1,1),OFFSET('IWP04'!Std10dot4Withdrawals, 10, 0, 1, 1))</f>
        <v>1</v>
      </c>
      <c r="C898" s="116">
        <f ca="1">OFFSET('IWP04'!Std10dot4Withdrawals, 10, 2, 1, 1)</f>
        <v>0</v>
      </c>
      <c r="D898" s="159" t="str">
        <f ca="1">IF(OFFSET('IWP04'!Std10dot4Withdrawals, 10, 4, 1, 1) = 0, "", OFFSET('IWP04'!Std10dot4Withdrawals, 10, 4, 1, 1))</f>
        <v/>
      </c>
      <c r="E898" s="164" t="str">
        <f ca="1">IF(OFFSET('IWP04'!Std10dot4Withdrawals, 10, 7, 1, 1) = 0, "", OFFSET('IWP04'!Std10dot4Withdrawals, 10, 7, 1, 1))</f>
        <v/>
      </c>
    </row>
    <row r="899" spans="1:5">
      <c r="A899" s="160" t="s">
        <v>817</v>
      </c>
      <c r="B899" s="108">
        <f ca="1">IF(OFFSET('IWP04'!Std10dot4Withdrawals, 11, 0, 1, 1) =DATE(1900,1,0),DATE(1900,1,1),OFFSET('IWP04'!Std10dot4Withdrawals, 11, 0, 1, 1))</f>
        <v>1</v>
      </c>
      <c r="C899" s="116">
        <f ca="1">OFFSET('IWP04'!Std10dot4Withdrawals, 11, 2, 1, 1)</f>
        <v>0</v>
      </c>
      <c r="D899" s="159" t="str">
        <f ca="1">IF(OFFSET('IWP04'!Std10dot4Withdrawals, 11, 4, 1, 1) = 0, "", OFFSET('IWP04'!Std10dot4Withdrawals, 11, 4, 1, 1))</f>
        <v/>
      </c>
      <c r="E899" s="164" t="str">
        <f ca="1">IF(OFFSET('IWP04'!Std10dot4Withdrawals, 11, 7, 1, 1) = 0, "", OFFSET('IWP04'!Std10dot4Withdrawals, 11, 7, 1, 1))</f>
        <v/>
      </c>
    </row>
    <row r="900" spans="1:5">
      <c r="A900" s="160" t="s">
        <v>817</v>
      </c>
      <c r="B900" s="108">
        <f ca="1">IF(OFFSET('IWP04'!Std10dot4Withdrawals, 12, 0, 1, 1) =DATE(1900,1,0),DATE(1900,1,1),OFFSET('IWP04'!Std10dot4Withdrawals, 12, 0, 1, 1))</f>
        <v>1</v>
      </c>
      <c r="C900" s="116">
        <f ca="1">OFFSET('IWP04'!Std10dot4Withdrawals, 12, 2, 1, 1)</f>
        <v>0</v>
      </c>
      <c r="D900" s="159" t="str">
        <f ca="1">IF(OFFSET('IWP04'!Std10dot4Withdrawals, 12, 4, 1, 1) = 0, "", OFFSET('IWP04'!Std10dot4Withdrawals, 12, 4, 1, 1))</f>
        <v/>
      </c>
      <c r="E900" s="164" t="str">
        <f ca="1">IF(OFFSET('IWP04'!Std10dot4Withdrawals, 12, 7, 1, 1) = 0, "", OFFSET('IWP04'!Std10dot4Withdrawals, 12, 7, 1, 1))</f>
        <v/>
      </c>
    </row>
    <row r="901" spans="1:5">
      <c r="A901" s="160" t="s">
        <v>817</v>
      </c>
      <c r="B901" s="108">
        <f ca="1">IF(OFFSET('IWP04'!Std10dot4Withdrawals, 13, 0, 1, 1) =DATE(1900,1,0),DATE(1900,1,1),OFFSET('IWP04'!Std10dot4Withdrawals, 13, 0, 1, 1))</f>
        <v>1</v>
      </c>
      <c r="C901" s="116">
        <f ca="1">OFFSET('IWP04'!Std10dot4Withdrawals, 13, 2, 1, 1)</f>
        <v>0</v>
      </c>
      <c r="D901" s="159" t="str">
        <f ca="1">IF(OFFSET('IWP04'!Std10dot4Withdrawals, 13, 4, 1, 1) = 0, "", OFFSET('IWP04'!Std10dot4Withdrawals, 13, 4, 1, 1))</f>
        <v/>
      </c>
      <c r="E901" s="164" t="str">
        <f ca="1">IF(OFFSET('IWP04'!Std10dot4Withdrawals, 13, 7, 1, 1) = 0, "", OFFSET('IWP04'!Std10dot4Withdrawals, 13, 7, 1, 1))</f>
        <v/>
      </c>
    </row>
    <row r="902" spans="1:5">
      <c r="A902" s="160" t="s">
        <v>817</v>
      </c>
      <c r="B902" s="108">
        <f ca="1">IF(OFFSET('IWP04'!Std10dot4Withdrawals, 14, 0, 1, 1) =DATE(1900,1,0),DATE(1900,1,1),OFFSET('IWP04'!Std10dot4Withdrawals, 14, 0, 1, 1))</f>
        <v>1</v>
      </c>
      <c r="C902" s="116">
        <f ca="1">OFFSET('IWP04'!Std10dot4Withdrawals, 14, 2, 1, 1)</f>
        <v>0</v>
      </c>
      <c r="D902" s="159" t="str">
        <f ca="1">IF(OFFSET('IWP04'!Std10dot4Withdrawals, 14, 4, 1, 1) = 0, "", OFFSET('IWP04'!Std10dot4Withdrawals, 14, 4, 1, 1))</f>
        <v/>
      </c>
      <c r="E902" s="164" t="str">
        <f ca="1">IF(OFFSET('IWP04'!Std10dot4Withdrawals, 14, 7, 1, 1) = 0, "", OFFSET('IWP04'!Std10dot4Withdrawals, 14, 7, 1, 1))</f>
        <v/>
      </c>
    </row>
    <row r="903" spans="1:5">
      <c r="A903" s="160" t="s">
        <v>817</v>
      </c>
      <c r="B903" s="108">
        <f ca="1">IF(OFFSET('IWP04'!Std10dot4Withdrawals, 15, 0, 1, 1) =DATE(1900,1,0),DATE(1900,1,1),OFFSET('IWP04'!Std10dot4Withdrawals, 15, 0, 1, 1))</f>
        <v>1</v>
      </c>
      <c r="C903" s="116">
        <f ca="1">OFFSET('IWP04'!Std10dot4Withdrawals, 15, 2, 1, 1)</f>
        <v>0</v>
      </c>
      <c r="D903" s="159" t="str">
        <f ca="1">IF(OFFSET('IWP04'!Std10dot4Withdrawals, 15, 4, 1, 1) = 0, "", OFFSET('IWP04'!Std10dot4Withdrawals, 15, 4, 1, 1))</f>
        <v/>
      </c>
      <c r="E903" s="164" t="str">
        <f ca="1">IF(OFFSET('IWP04'!Std10dot4Withdrawals, 15, 7, 1, 1) = 0, "", OFFSET('IWP04'!Std10dot4Withdrawals, 15, 7, 1, 1))</f>
        <v/>
      </c>
    </row>
    <row r="904" spans="1:5">
      <c r="A904" s="160" t="s">
        <v>817</v>
      </c>
      <c r="B904" s="108">
        <f ca="1">IF(OFFSET('IWP04'!Std10dot4Withdrawals, 16, 0, 1, 1) =DATE(1900,1,0),DATE(1900,1,1),OFFSET('IWP04'!Std10dot4Withdrawals, 16, 0, 1, 1))</f>
        <v>1</v>
      </c>
      <c r="C904" s="116">
        <f ca="1">OFFSET('IWP04'!Std10dot4Withdrawals, 16, 2, 1, 1)</f>
        <v>0</v>
      </c>
      <c r="D904" s="159" t="str">
        <f ca="1">IF(OFFSET('IWP04'!Std10dot4Withdrawals, 16, 4, 1, 1) = 0, "", OFFSET('IWP04'!Std10dot4Withdrawals, 16, 4, 1, 1))</f>
        <v/>
      </c>
      <c r="E904" s="164" t="str">
        <f ca="1">IF(OFFSET('IWP04'!Std10dot4Withdrawals, 16, 7, 1, 1) = 0, "", OFFSET('IWP04'!Std10dot4Withdrawals, 16, 7, 1, 1))</f>
        <v/>
      </c>
    </row>
    <row r="905" spans="1:5">
      <c r="A905" s="160" t="s">
        <v>817</v>
      </c>
      <c r="B905" s="108">
        <f ca="1">IF(OFFSET('IWP04'!Std10dot4Withdrawals, 17, 0, 1, 1) =DATE(1900,1,0),DATE(1900,1,1),OFFSET('IWP04'!Std10dot4Withdrawals, 17, 0, 1, 1))</f>
        <v>1</v>
      </c>
      <c r="C905" s="116">
        <f ca="1">OFFSET('IWP04'!Std10dot4Withdrawals, 17, 2, 1, 1)</f>
        <v>0</v>
      </c>
      <c r="D905" s="159" t="str">
        <f ca="1">IF(OFFSET('IWP04'!Std10dot4Withdrawals, 17, 4, 1, 1) = 0, "", OFFSET('IWP04'!Std10dot4Withdrawals, 17, 4, 1, 1))</f>
        <v/>
      </c>
      <c r="E905" s="164" t="str">
        <f ca="1">IF(OFFSET('IWP04'!Std10dot4Withdrawals, 17, 7, 1, 1) = 0, "", OFFSET('IWP04'!Std10dot4Withdrawals, 17, 7, 1, 1))</f>
        <v/>
      </c>
    </row>
    <row r="906" spans="1:5">
      <c r="A906" s="160" t="s">
        <v>817</v>
      </c>
      <c r="B906" s="108">
        <f ca="1">IF(OFFSET('IWP04'!Std10dot4Withdrawals, 18, 0, 1, 1) =DATE(1900,1,0),DATE(1900,1,1),OFFSET('IWP04'!Std10dot4Withdrawals, 18, 0, 1, 1))</f>
        <v>1</v>
      </c>
      <c r="C906" s="116">
        <f ca="1">OFFSET('IWP04'!Std10dot4Withdrawals, 18, 2, 1, 1)</f>
        <v>0</v>
      </c>
      <c r="D906" s="159" t="str">
        <f ca="1">IF(OFFSET('IWP04'!Std10dot4Withdrawals, 18, 4, 1, 1) = 0, "", OFFSET('IWP04'!Std10dot4Withdrawals, 18, 4, 1, 1))</f>
        <v/>
      </c>
      <c r="E906" s="164" t="str">
        <f ca="1">IF(OFFSET('IWP04'!Std10dot4Withdrawals, 18, 7, 1, 1) = 0, "", OFFSET('IWP04'!Std10dot4Withdrawals, 18, 7, 1, 1))</f>
        <v/>
      </c>
    </row>
    <row r="907" spans="1:5">
      <c r="A907" s="160" t="s">
        <v>817</v>
      </c>
      <c r="B907" s="108">
        <f ca="1">IF(OFFSET('IWP04'!Std10dot4Withdrawals, 19, 0, 1, 1) =DATE(1900,1,0),DATE(1900,1,1),OFFSET('IWP04'!Std10dot4Withdrawals, 19, 0, 1, 1))</f>
        <v>1</v>
      </c>
      <c r="C907" s="116">
        <f ca="1">OFFSET('IWP04'!Std10dot4Withdrawals, 19, 2, 1, 1)</f>
        <v>0</v>
      </c>
      <c r="D907" s="159" t="str">
        <f ca="1">IF(OFFSET('IWP04'!Std10dot4Withdrawals, 19, 4, 1, 1) = 0, "", OFFSET('IWP04'!Std10dot4Withdrawals, 19, 4, 1, 1))</f>
        <v/>
      </c>
      <c r="E907" s="164" t="str">
        <f ca="1">IF(OFFSET('IWP04'!Std10dot4Withdrawals, 19, 7, 1, 1) = 0, "", OFFSET('IWP04'!Std10dot4Withdrawals, 19, 7, 1, 1))</f>
        <v/>
      </c>
    </row>
    <row r="908" spans="1:5">
      <c r="A908" s="160" t="s">
        <v>818</v>
      </c>
      <c r="B908" s="108">
        <f ca="1">IF(OFFSET('IWP05'!Std10dot4Withdrawals, 0, 0, 1, 1) =DATE(1900,1,0),DATE(1900,1,1),OFFSET('IWP05'!Std10dot4Withdrawals, 0, 0, 1, 1))</f>
        <v>1</v>
      </c>
      <c r="C908" s="116">
        <f ca="1">OFFSET('IWP05'!Std10dot4Withdrawals, 0, 2, 1, 1)</f>
        <v>0</v>
      </c>
      <c r="D908" s="159" t="str">
        <f ca="1">IF(OFFSET('IWP05'!Std10dot4Withdrawals, 0, 4, 1, 1) = 0, "", OFFSET('IWP05'!Std10dot4Withdrawals, 0, 4, 1, 1))</f>
        <v/>
      </c>
      <c r="E908" s="164" t="str">
        <f ca="1">IF(OFFSET('IWP05'!Std10dot4Withdrawals, 0, 7, 1, 1) = 0, "", OFFSET('IWP05'!Std10dot4Withdrawals, 0, 7, 1, 1))</f>
        <v/>
      </c>
    </row>
    <row r="909" spans="1:5">
      <c r="A909" s="160" t="s">
        <v>818</v>
      </c>
      <c r="B909" s="108">
        <f ca="1">IF(OFFSET('IWP05'!Std10dot4Withdrawals, 1, 0, 1, 1) =DATE(1900,1,0),DATE(1900,1,1),OFFSET('IWP05'!Std10dot4Withdrawals, 1, 0, 1, 1))</f>
        <v>1</v>
      </c>
      <c r="C909" s="116">
        <f ca="1">OFFSET('IWP05'!Std10dot4Withdrawals, 1, 2, 1, 1)</f>
        <v>0</v>
      </c>
      <c r="D909" s="159" t="str">
        <f ca="1">IF(OFFSET('IWP05'!Std10dot4Withdrawals, 1, 4, 1, 1) = 0, "", OFFSET('IWP05'!Std10dot4Withdrawals, 1, 4, 1, 1))</f>
        <v/>
      </c>
      <c r="E909" s="164" t="str">
        <f ca="1">IF(OFFSET('IWP05'!Std10dot4Withdrawals, 1, 7, 1, 1) = 0, "", OFFSET('IWP05'!Std10dot4Withdrawals, 1, 7, 1, 1))</f>
        <v/>
      </c>
    </row>
    <row r="910" spans="1:5">
      <c r="A910" s="160" t="s">
        <v>818</v>
      </c>
      <c r="B910" s="108">
        <f ca="1">IF(OFFSET('IWP05'!Std10dot4Withdrawals, 2, 0, 1, 1) =DATE(1900,1,0),DATE(1900,1,1),OFFSET('IWP05'!Std10dot4Withdrawals, 2, 0, 1, 1))</f>
        <v>1</v>
      </c>
      <c r="C910" s="116">
        <f ca="1">OFFSET('IWP05'!Std10dot4Withdrawals, 2, 2, 1, 1)</f>
        <v>0</v>
      </c>
      <c r="D910" s="159" t="str">
        <f ca="1">IF(OFFSET('IWP05'!Std10dot4Withdrawals, 2, 4, 1, 1) = 0, "", OFFSET('IWP05'!Std10dot4Withdrawals, 2, 4, 1, 1))</f>
        <v/>
      </c>
      <c r="E910" s="164" t="str">
        <f ca="1">IF(OFFSET('IWP05'!Std10dot4Withdrawals, 2, 7, 1, 1) = 0, "", OFFSET('IWP05'!Std10dot4Withdrawals, 2, 7, 1, 1))</f>
        <v/>
      </c>
    </row>
    <row r="911" spans="1:5">
      <c r="A911" s="160" t="s">
        <v>818</v>
      </c>
      <c r="B911" s="108">
        <f ca="1">IF(OFFSET('IWP05'!Std10dot4Withdrawals, 3, 0, 1, 1) =DATE(1900,1,0),DATE(1900,1,1),OFFSET('IWP05'!Std10dot4Withdrawals, 3, 0, 1, 1))</f>
        <v>1</v>
      </c>
      <c r="C911" s="116">
        <f ca="1">OFFSET('IWP05'!Std10dot4Withdrawals, 3, 2, 1, 1)</f>
        <v>0</v>
      </c>
      <c r="D911" s="159" t="str">
        <f ca="1">IF(OFFSET('IWP05'!Std10dot4Withdrawals, 3, 4, 1, 1) = 0, "", OFFSET('IWP05'!Std10dot4Withdrawals, 3, 4, 1, 1))</f>
        <v/>
      </c>
      <c r="E911" s="164" t="str">
        <f ca="1">IF(OFFSET('IWP05'!Std10dot4Withdrawals, 3, 7, 1, 1) = 0, "", OFFSET('IWP05'!Std10dot4Withdrawals, 3, 7, 1, 1))</f>
        <v/>
      </c>
    </row>
    <row r="912" spans="1:5">
      <c r="A912" s="160" t="s">
        <v>818</v>
      </c>
      <c r="B912" s="108">
        <f ca="1">IF(OFFSET('IWP05'!Std10dot4Withdrawals, 4, 0, 1, 1) =DATE(1900,1,0),DATE(1900,1,1),OFFSET('IWP05'!Std10dot4Withdrawals, 4, 0, 1, 1))</f>
        <v>1</v>
      </c>
      <c r="C912" s="116">
        <f ca="1">OFFSET('IWP05'!Std10dot4Withdrawals, 4, 2, 1, 1)</f>
        <v>0</v>
      </c>
      <c r="D912" s="159" t="str">
        <f ca="1">IF(OFFSET('IWP05'!Std10dot4Withdrawals, 4, 4, 1, 1) = 0, "", OFFSET('IWP05'!Std10dot4Withdrawals, 4, 4, 1, 1))</f>
        <v/>
      </c>
      <c r="E912" s="164" t="str">
        <f ca="1">IF(OFFSET('IWP05'!Std10dot4Withdrawals, 4, 7, 1, 1) = 0, "", OFFSET('IWP05'!Std10dot4Withdrawals, 4, 7, 1, 1))</f>
        <v/>
      </c>
    </row>
    <row r="913" spans="1:5">
      <c r="A913" s="160" t="s">
        <v>818</v>
      </c>
      <c r="B913" s="108">
        <f ca="1">IF(OFFSET('IWP05'!Std10dot4Withdrawals, 5, 0, 1, 1) =DATE(1900,1,0),DATE(1900,1,1),OFFSET('IWP05'!Std10dot4Withdrawals, 5, 0, 1, 1))</f>
        <v>1</v>
      </c>
      <c r="C913" s="116">
        <f ca="1">OFFSET('IWP05'!Std10dot4Withdrawals, 5, 2, 1, 1)</f>
        <v>0</v>
      </c>
      <c r="D913" s="159" t="str">
        <f ca="1">IF(OFFSET('IWP05'!Std10dot4Withdrawals, 5, 4, 1, 1) = 0, "", OFFSET('IWP05'!Std10dot4Withdrawals, 5, 4, 1, 1))</f>
        <v/>
      </c>
      <c r="E913" s="164" t="str">
        <f ca="1">IF(OFFSET('IWP05'!Std10dot4Withdrawals, 5, 7, 1, 1) = 0, "", OFFSET('IWP05'!Std10dot4Withdrawals, 5, 7, 1, 1))</f>
        <v/>
      </c>
    </row>
    <row r="914" spans="1:5">
      <c r="A914" s="160" t="s">
        <v>818</v>
      </c>
      <c r="B914" s="108">
        <f ca="1">IF(OFFSET('IWP05'!Std10dot4Withdrawals, 6, 0, 1, 1) =DATE(1900,1,0),DATE(1900,1,1),OFFSET('IWP05'!Std10dot4Withdrawals, 6, 0, 1, 1))</f>
        <v>1</v>
      </c>
      <c r="C914" s="116">
        <f ca="1">OFFSET('IWP05'!Std10dot4Withdrawals, 6, 2, 1, 1)</f>
        <v>0</v>
      </c>
      <c r="D914" s="159" t="str">
        <f ca="1">IF(OFFSET('IWP05'!Std10dot4Withdrawals, 6, 4, 1, 1) = 0, "", OFFSET('IWP05'!Std10dot4Withdrawals, 6, 4, 1, 1))</f>
        <v/>
      </c>
      <c r="E914" s="164" t="str">
        <f ca="1">IF(OFFSET('IWP05'!Std10dot4Withdrawals, 6, 7, 1, 1) = 0, "", OFFSET('IWP05'!Std10dot4Withdrawals, 6, 7, 1, 1))</f>
        <v/>
      </c>
    </row>
    <row r="915" spans="1:5">
      <c r="A915" s="160" t="s">
        <v>818</v>
      </c>
      <c r="B915" s="108">
        <f ca="1">IF(OFFSET('IWP05'!Std10dot4Withdrawals, 7, 0, 1, 1) =DATE(1900,1,0),DATE(1900,1,1),OFFSET('IWP05'!Std10dot4Withdrawals, 7, 0, 1, 1))</f>
        <v>1</v>
      </c>
      <c r="C915" s="116">
        <f ca="1">OFFSET('IWP05'!Std10dot4Withdrawals, 7, 2, 1, 1)</f>
        <v>0</v>
      </c>
      <c r="D915" s="159" t="str">
        <f ca="1">IF(OFFSET('IWP05'!Std10dot4Withdrawals, 7, 4, 1, 1) = 0, "", OFFSET('IWP05'!Std10dot4Withdrawals, 7, 4, 1, 1))</f>
        <v/>
      </c>
      <c r="E915" s="164" t="str">
        <f ca="1">IF(OFFSET('IWP05'!Std10dot4Withdrawals, 7, 7, 1, 1) = 0, "", OFFSET('IWP05'!Std10dot4Withdrawals, 7, 7, 1, 1))</f>
        <v/>
      </c>
    </row>
    <row r="916" spans="1:5">
      <c r="A916" s="160" t="s">
        <v>818</v>
      </c>
      <c r="B916" s="108">
        <f ca="1">IF(OFFSET('IWP05'!Std10dot4Withdrawals, 8, 0, 1, 1) =DATE(1900,1,0),DATE(1900,1,1),OFFSET('IWP05'!Std10dot4Withdrawals, 8, 0, 1, 1))</f>
        <v>1</v>
      </c>
      <c r="C916" s="116">
        <f ca="1">OFFSET('IWP05'!Std10dot4Withdrawals, 8, 2, 1, 1)</f>
        <v>0</v>
      </c>
      <c r="D916" s="159" t="str">
        <f ca="1">IF(OFFSET('IWP05'!Std10dot4Withdrawals, 8, 4, 1, 1) = 0, "", OFFSET('IWP05'!Std10dot4Withdrawals, 8, 4, 1, 1))</f>
        <v/>
      </c>
      <c r="E916" s="164" t="str">
        <f ca="1">IF(OFFSET('IWP05'!Std10dot4Withdrawals, 8, 7, 1, 1) = 0, "", OFFSET('IWP05'!Std10dot4Withdrawals, 8, 7, 1, 1))</f>
        <v/>
      </c>
    </row>
    <row r="917" spans="1:5">
      <c r="A917" s="160" t="s">
        <v>818</v>
      </c>
      <c r="B917" s="108">
        <f ca="1">IF(OFFSET('IWP05'!Std10dot4Withdrawals, 9, 0, 1, 1) =DATE(1900,1,0),DATE(1900,1,1),OFFSET('IWP05'!Std10dot4Withdrawals, 9, 0, 1, 1))</f>
        <v>1</v>
      </c>
      <c r="C917" s="116">
        <f ca="1">OFFSET('IWP05'!Std10dot4Withdrawals, 9, 2, 1, 1)</f>
        <v>0</v>
      </c>
      <c r="D917" s="159" t="str">
        <f ca="1">IF(OFFSET('IWP05'!Std10dot4Withdrawals, 9, 4, 1, 1) = 0, "", OFFSET('IWP05'!Std10dot4Withdrawals, 9, 4, 1, 1))</f>
        <v/>
      </c>
      <c r="E917" s="164" t="str">
        <f ca="1">IF(OFFSET('IWP05'!Std10dot4Withdrawals, 9, 7, 1, 1) = 0, "", OFFSET('IWP05'!Std10dot4Withdrawals, 9, 7, 1, 1))</f>
        <v/>
      </c>
    </row>
    <row r="918" spans="1:5">
      <c r="A918" s="160" t="s">
        <v>818</v>
      </c>
      <c r="B918" s="108">
        <f ca="1">IF(OFFSET('IWP05'!Std10dot4Withdrawals, 10, 0, 1, 1) =DATE(1900,1,0),DATE(1900,1,1),OFFSET('IWP05'!Std10dot4Withdrawals, 10, 0, 1, 1))</f>
        <v>1</v>
      </c>
      <c r="C918" s="116">
        <f ca="1">OFFSET('IWP05'!Std10dot4Withdrawals, 10, 2, 1, 1)</f>
        <v>0</v>
      </c>
      <c r="D918" s="159" t="str">
        <f ca="1">IF(OFFSET('IWP05'!Std10dot4Withdrawals, 10, 4, 1, 1) = 0, "", OFFSET('IWP05'!Std10dot4Withdrawals, 10, 4, 1, 1))</f>
        <v/>
      </c>
      <c r="E918" s="164" t="str">
        <f ca="1">IF(OFFSET('IWP05'!Std10dot4Withdrawals, 10, 7, 1, 1) = 0, "", OFFSET('IWP05'!Std10dot4Withdrawals, 10, 7, 1, 1))</f>
        <v/>
      </c>
    </row>
    <row r="919" spans="1:5">
      <c r="A919" s="160" t="s">
        <v>818</v>
      </c>
      <c r="B919" s="108">
        <f ca="1">IF(OFFSET('IWP05'!Std10dot4Withdrawals, 11, 0, 1, 1) =DATE(1900,1,0),DATE(1900,1,1),OFFSET('IWP05'!Std10dot4Withdrawals, 11, 0, 1, 1))</f>
        <v>1</v>
      </c>
      <c r="C919" s="116">
        <f ca="1">OFFSET('IWP05'!Std10dot4Withdrawals, 11, 2, 1, 1)</f>
        <v>0</v>
      </c>
      <c r="D919" s="159" t="str">
        <f ca="1">IF(OFFSET('IWP05'!Std10dot4Withdrawals, 11, 4, 1, 1) = 0, "", OFFSET('IWP05'!Std10dot4Withdrawals, 11, 4, 1, 1))</f>
        <v/>
      </c>
      <c r="E919" s="164" t="str">
        <f ca="1">IF(OFFSET('IWP05'!Std10dot4Withdrawals, 11, 7, 1, 1) = 0, "", OFFSET('IWP05'!Std10dot4Withdrawals, 11, 7, 1, 1))</f>
        <v/>
      </c>
    </row>
    <row r="920" spans="1:5">
      <c r="A920" s="160" t="s">
        <v>818</v>
      </c>
      <c r="B920" s="108">
        <f ca="1">IF(OFFSET('IWP05'!Std10dot4Withdrawals, 12, 0, 1, 1) =DATE(1900,1,0),DATE(1900,1,1),OFFSET('IWP05'!Std10dot4Withdrawals, 12, 0, 1, 1))</f>
        <v>1</v>
      </c>
      <c r="C920" s="116">
        <f ca="1">OFFSET('IWP05'!Std10dot4Withdrawals, 12, 2, 1, 1)</f>
        <v>0</v>
      </c>
      <c r="D920" s="159" t="str">
        <f ca="1">IF(OFFSET('IWP05'!Std10dot4Withdrawals, 12, 4, 1, 1) = 0, "", OFFSET('IWP05'!Std10dot4Withdrawals, 12, 4, 1, 1))</f>
        <v/>
      </c>
      <c r="E920" s="164" t="str">
        <f ca="1">IF(OFFSET('IWP05'!Std10dot4Withdrawals, 12, 7, 1, 1) = 0, "", OFFSET('IWP05'!Std10dot4Withdrawals, 12, 7, 1, 1))</f>
        <v/>
      </c>
    </row>
    <row r="921" spans="1:5">
      <c r="A921" s="160" t="s">
        <v>818</v>
      </c>
      <c r="B921" s="108">
        <f ca="1">IF(OFFSET('IWP05'!Std10dot4Withdrawals, 13, 0, 1, 1) =DATE(1900,1,0),DATE(1900,1,1),OFFSET('IWP05'!Std10dot4Withdrawals, 13, 0, 1, 1))</f>
        <v>1</v>
      </c>
      <c r="C921" s="116">
        <f ca="1">OFFSET('IWP05'!Std10dot4Withdrawals, 13, 2, 1, 1)</f>
        <v>0</v>
      </c>
      <c r="D921" s="159" t="str">
        <f ca="1">IF(OFFSET('IWP05'!Std10dot4Withdrawals, 13, 4, 1, 1) = 0, "", OFFSET('IWP05'!Std10dot4Withdrawals, 13, 4, 1, 1))</f>
        <v/>
      </c>
      <c r="E921" s="164" t="str">
        <f ca="1">IF(OFFSET('IWP05'!Std10dot4Withdrawals, 13, 7, 1, 1) = 0, "", OFFSET('IWP05'!Std10dot4Withdrawals, 13, 7, 1, 1))</f>
        <v/>
      </c>
    </row>
    <row r="922" spans="1:5">
      <c r="A922" s="160" t="s">
        <v>818</v>
      </c>
      <c r="B922" s="108">
        <f ca="1">IF(OFFSET('IWP05'!Std10dot4Withdrawals, 14, 0, 1, 1) =DATE(1900,1,0),DATE(1900,1,1),OFFSET('IWP05'!Std10dot4Withdrawals, 14, 0, 1, 1))</f>
        <v>1</v>
      </c>
      <c r="C922" s="116">
        <f ca="1">OFFSET('IWP05'!Std10dot4Withdrawals, 14, 2, 1, 1)</f>
        <v>0</v>
      </c>
      <c r="D922" s="159" t="str">
        <f ca="1">IF(OFFSET('IWP05'!Std10dot4Withdrawals, 14, 4, 1, 1) = 0, "", OFFSET('IWP05'!Std10dot4Withdrawals, 14, 4, 1, 1))</f>
        <v/>
      </c>
      <c r="E922" s="164" t="str">
        <f ca="1">IF(OFFSET('IWP05'!Std10dot4Withdrawals, 14, 7, 1, 1) = 0, "", OFFSET('IWP05'!Std10dot4Withdrawals, 14, 7, 1, 1))</f>
        <v/>
      </c>
    </row>
    <row r="923" spans="1:5">
      <c r="A923" s="160" t="s">
        <v>818</v>
      </c>
      <c r="B923" s="108">
        <f ca="1">IF(OFFSET('IWP05'!Std10dot4Withdrawals, 15, 0, 1, 1) =DATE(1900,1,0),DATE(1900,1,1),OFFSET('IWP05'!Std10dot4Withdrawals, 15, 0, 1, 1))</f>
        <v>1</v>
      </c>
      <c r="C923" s="116">
        <f ca="1">OFFSET('IWP05'!Std10dot4Withdrawals, 15, 2, 1, 1)</f>
        <v>0</v>
      </c>
      <c r="D923" s="159" t="str">
        <f ca="1">IF(OFFSET('IWP05'!Std10dot4Withdrawals, 15, 4, 1, 1) = 0, "", OFFSET('IWP05'!Std10dot4Withdrawals, 15, 4, 1, 1))</f>
        <v/>
      </c>
      <c r="E923" s="164" t="str">
        <f ca="1">IF(OFFSET('IWP05'!Std10dot4Withdrawals, 15, 7, 1, 1) = 0, "", OFFSET('IWP05'!Std10dot4Withdrawals, 15, 7, 1, 1))</f>
        <v/>
      </c>
    </row>
    <row r="924" spans="1:5">
      <c r="A924" s="160" t="s">
        <v>818</v>
      </c>
      <c r="B924" s="108">
        <f ca="1">IF(OFFSET('IWP05'!Std10dot4Withdrawals, 16, 0, 1, 1) =DATE(1900,1,0),DATE(1900,1,1),OFFSET('IWP05'!Std10dot4Withdrawals, 16, 0, 1, 1))</f>
        <v>1</v>
      </c>
      <c r="C924" s="116">
        <f ca="1">OFFSET('IWP05'!Std10dot4Withdrawals, 16, 2, 1, 1)</f>
        <v>0</v>
      </c>
      <c r="D924" s="159" t="str">
        <f ca="1">IF(OFFSET('IWP05'!Std10dot4Withdrawals, 16, 4, 1, 1) = 0, "", OFFSET('IWP05'!Std10dot4Withdrawals, 16, 4, 1, 1))</f>
        <v/>
      </c>
      <c r="E924" s="164" t="str">
        <f ca="1">IF(OFFSET('IWP05'!Std10dot4Withdrawals, 16, 7, 1, 1) = 0, "", OFFSET('IWP05'!Std10dot4Withdrawals, 16, 7, 1, 1))</f>
        <v/>
      </c>
    </row>
    <row r="925" spans="1:5">
      <c r="A925" s="160" t="s">
        <v>818</v>
      </c>
      <c r="B925" s="108">
        <f ca="1">IF(OFFSET('IWP05'!Std10dot4Withdrawals, 17, 0, 1, 1) =DATE(1900,1,0),DATE(1900,1,1),OFFSET('IWP05'!Std10dot4Withdrawals, 17, 0, 1, 1))</f>
        <v>1</v>
      </c>
      <c r="C925" s="116">
        <f ca="1">OFFSET('IWP05'!Std10dot4Withdrawals, 17, 2, 1, 1)</f>
        <v>0</v>
      </c>
      <c r="D925" s="159" t="str">
        <f ca="1">IF(OFFSET('IWP05'!Std10dot4Withdrawals, 17, 4, 1, 1) = 0, "", OFFSET('IWP05'!Std10dot4Withdrawals, 17, 4, 1, 1))</f>
        <v/>
      </c>
      <c r="E925" s="164" t="str">
        <f ca="1">IF(OFFSET('IWP05'!Std10dot4Withdrawals, 17, 7, 1, 1) = 0, "", OFFSET('IWP05'!Std10dot4Withdrawals, 17, 7, 1, 1))</f>
        <v/>
      </c>
    </row>
    <row r="926" spans="1:5">
      <c r="A926" s="160" t="s">
        <v>818</v>
      </c>
      <c r="B926" s="108">
        <f ca="1">IF(OFFSET('IWP05'!Std10dot4Withdrawals, 18, 0, 1, 1) =DATE(1900,1,0),DATE(1900,1,1),OFFSET('IWP05'!Std10dot4Withdrawals, 18, 0, 1, 1))</f>
        <v>1</v>
      </c>
      <c r="C926" s="116">
        <f ca="1">OFFSET('IWP05'!Std10dot4Withdrawals, 18, 2, 1, 1)</f>
        <v>0</v>
      </c>
      <c r="D926" s="159" t="str">
        <f ca="1">IF(OFFSET('IWP05'!Std10dot4Withdrawals, 18, 4, 1, 1) = 0, "", OFFSET('IWP05'!Std10dot4Withdrawals, 18, 4, 1, 1))</f>
        <v/>
      </c>
      <c r="E926" s="164" t="str">
        <f ca="1">IF(OFFSET('IWP05'!Std10dot4Withdrawals, 18, 7, 1, 1) = 0, "", OFFSET('IWP05'!Std10dot4Withdrawals, 18, 7, 1, 1))</f>
        <v/>
      </c>
    </row>
    <row r="927" spans="1:5">
      <c r="A927" s="160" t="s">
        <v>818</v>
      </c>
      <c r="B927" s="108">
        <f ca="1">IF(OFFSET('IWP05'!Std10dot4Withdrawals, 19, 0, 1, 1) =DATE(1900,1,0),DATE(1900,1,1),OFFSET('IWP05'!Std10dot4Withdrawals, 19, 0, 1, 1))</f>
        <v>1</v>
      </c>
      <c r="C927" s="116">
        <f ca="1">OFFSET('IWP05'!Std10dot4Withdrawals, 19, 2, 1, 1)</f>
        <v>0</v>
      </c>
      <c r="D927" s="159" t="str">
        <f ca="1">IF(OFFSET('IWP05'!Std10dot4Withdrawals, 19, 4, 1, 1) = 0, "", OFFSET('IWP05'!Std10dot4Withdrawals, 19, 4, 1, 1))</f>
        <v/>
      </c>
      <c r="E927" s="164" t="str">
        <f ca="1">IF(OFFSET('IWP05'!Std10dot4Withdrawals, 19, 7, 1, 1) = 0, "", OFFSET('IWP05'!Std10dot4Withdrawals, 19, 7, 1, 1))</f>
        <v/>
      </c>
    </row>
    <row r="928" spans="1:5">
      <c r="A928" s="160" t="s">
        <v>819</v>
      </c>
      <c r="B928" s="108">
        <f ca="1">IF(OFFSET('IWP06'!Std10dot4Withdrawals, 0, 0, 1, 1) =DATE(1900,1,0),DATE(1900,1,1),OFFSET('IWP06'!Std10dot4Withdrawals, 0, 0, 1, 1))</f>
        <v>1</v>
      </c>
      <c r="C928" s="116">
        <f ca="1">OFFSET('IWP06'!Std10dot4Withdrawals, 0, 2, 1, 1)</f>
        <v>0</v>
      </c>
      <c r="D928" s="159" t="str">
        <f ca="1">IF(OFFSET('IWP06'!Std10dot4Withdrawals, 0, 4, 1, 1) = 0, "", OFFSET('IWP06'!Std10dot4Withdrawals, 0, 4, 1, 1))</f>
        <v/>
      </c>
      <c r="E928" s="164" t="str">
        <f ca="1">IF(OFFSET('IWP06'!Std10dot4Withdrawals, 0, 7, 1, 1) = 0, "", OFFSET('IWP06'!Std10dot4Withdrawals, 0, 7, 1, 1))</f>
        <v/>
      </c>
    </row>
    <row r="929" spans="1:5">
      <c r="A929" s="160" t="s">
        <v>819</v>
      </c>
      <c r="B929" s="108">
        <f ca="1">IF(OFFSET('IWP06'!Std10dot4Withdrawals, 1, 0, 1, 1) =DATE(1900,1,0),DATE(1900,1,1),OFFSET('IWP06'!Std10dot4Withdrawals, 1, 0, 1, 1))</f>
        <v>1</v>
      </c>
      <c r="C929" s="116">
        <f ca="1">OFFSET('IWP06'!Std10dot4Withdrawals, 1, 2, 1, 1)</f>
        <v>0</v>
      </c>
      <c r="D929" s="159" t="str">
        <f ca="1">IF(OFFSET('IWP06'!Std10dot4Withdrawals, 1, 4, 1, 1) = 0, "", OFFSET('IWP06'!Std10dot4Withdrawals, 1, 4, 1, 1))</f>
        <v/>
      </c>
      <c r="E929" s="164" t="str">
        <f ca="1">IF(OFFSET('IWP06'!Std10dot4Withdrawals, 1, 7, 1, 1) = 0, "", OFFSET('IWP06'!Std10dot4Withdrawals, 1, 7, 1, 1))</f>
        <v/>
      </c>
    </row>
    <row r="930" spans="1:5">
      <c r="A930" s="160" t="s">
        <v>819</v>
      </c>
      <c r="B930" s="108">
        <f ca="1">IF(OFFSET('IWP06'!Std10dot4Withdrawals, 2, 0, 1, 1) =DATE(1900,1,0),DATE(1900,1,1),OFFSET('IWP06'!Std10dot4Withdrawals, 2, 0, 1, 1))</f>
        <v>1</v>
      </c>
      <c r="C930" s="116">
        <f ca="1">OFFSET('IWP06'!Std10dot4Withdrawals, 2, 2, 1, 1)</f>
        <v>0</v>
      </c>
      <c r="D930" s="159" t="str">
        <f ca="1">IF(OFFSET('IWP06'!Std10dot4Withdrawals, 2, 4, 1, 1) = 0, "", OFFSET('IWP06'!Std10dot4Withdrawals, 2, 4, 1, 1))</f>
        <v/>
      </c>
      <c r="E930" s="164" t="str">
        <f ca="1">IF(OFFSET('IWP06'!Std10dot4Withdrawals, 2, 7, 1, 1) = 0, "", OFFSET('IWP06'!Std10dot4Withdrawals, 2, 7, 1, 1))</f>
        <v/>
      </c>
    </row>
    <row r="931" spans="1:5">
      <c r="A931" s="160" t="s">
        <v>819</v>
      </c>
      <c r="B931" s="108">
        <f ca="1">IF(OFFSET('IWP06'!Std10dot4Withdrawals, 3, 0, 1, 1) =DATE(1900,1,0),DATE(1900,1,1),OFFSET('IWP06'!Std10dot4Withdrawals, 3, 0, 1, 1))</f>
        <v>1</v>
      </c>
      <c r="C931" s="116">
        <f ca="1">OFFSET('IWP06'!Std10dot4Withdrawals, 3, 2, 1, 1)</f>
        <v>0</v>
      </c>
      <c r="D931" s="159" t="str">
        <f ca="1">IF(OFFSET('IWP06'!Std10dot4Withdrawals, 3, 4, 1, 1) = 0, "", OFFSET('IWP06'!Std10dot4Withdrawals, 3, 4, 1, 1))</f>
        <v/>
      </c>
      <c r="E931" s="164" t="str">
        <f ca="1">IF(OFFSET('IWP06'!Std10dot4Withdrawals, 3, 7, 1, 1) = 0, "", OFFSET('IWP06'!Std10dot4Withdrawals, 3, 7, 1, 1))</f>
        <v/>
      </c>
    </row>
    <row r="932" spans="1:5">
      <c r="A932" s="160" t="s">
        <v>819</v>
      </c>
      <c r="B932" s="108">
        <f ca="1">IF(OFFSET('IWP06'!Std10dot4Withdrawals, 4, 0, 1, 1) =DATE(1900,1,0),DATE(1900,1,1),OFFSET('IWP06'!Std10dot4Withdrawals, 4, 0, 1, 1))</f>
        <v>1</v>
      </c>
      <c r="C932" s="116">
        <f ca="1">OFFSET('IWP06'!Std10dot4Withdrawals, 4, 2, 1, 1)</f>
        <v>0</v>
      </c>
      <c r="D932" s="159" t="str">
        <f ca="1">IF(OFFSET('IWP06'!Std10dot4Withdrawals, 4, 4, 1, 1) = 0, "", OFFSET('IWP06'!Std10dot4Withdrawals, 4, 4, 1, 1))</f>
        <v/>
      </c>
      <c r="E932" s="164" t="str">
        <f ca="1">IF(OFFSET('IWP06'!Std10dot4Withdrawals, 4, 7, 1, 1) = 0, "", OFFSET('IWP06'!Std10dot4Withdrawals, 4, 7, 1, 1))</f>
        <v/>
      </c>
    </row>
    <row r="933" spans="1:5">
      <c r="A933" s="160" t="s">
        <v>819</v>
      </c>
      <c r="B933" s="108">
        <f ca="1">IF(OFFSET('IWP06'!Std10dot4Withdrawals, 5, 0, 1, 1) =DATE(1900,1,0),DATE(1900,1,1),OFFSET('IWP06'!Std10dot4Withdrawals, 5, 0, 1, 1))</f>
        <v>1</v>
      </c>
      <c r="C933" s="116">
        <f ca="1">OFFSET('IWP06'!Std10dot4Withdrawals, 5, 2, 1, 1)</f>
        <v>0</v>
      </c>
      <c r="D933" s="159" t="str">
        <f ca="1">IF(OFFSET('IWP06'!Std10dot4Withdrawals, 5, 4, 1, 1) = 0, "", OFFSET('IWP06'!Std10dot4Withdrawals, 5, 4, 1, 1))</f>
        <v/>
      </c>
      <c r="E933" s="164" t="str">
        <f ca="1">IF(OFFSET('IWP06'!Std10dot4Withdrawals, 5, 7, 1, 1) = 0, "", OFFSET('IWP06'!Std10dot4Withdrawals, 5, 7, 1, 1))</f>
        <v/>
      </c>
    </row>
    <row r="934" spans="1:5">
      <c r="A934" s="160" t="s">
        <v>819</v>
      </c>
      <c r="B934" s="108">
        <f ca="1">IF(OFFSET('IWP06'!Std10dot4Withdrawals, 6, 0, 1, 1) =DATE(1900,1,0),DATE(1900,1,1),OFFSET('IWP06'!Std10dot4Withdrawals, 6, 0, 1, 1))</f>
        <v>1</v>
      </c>
      <c r="C934" s="116">
        <f ca="1">OFFSET('IWP06'!Std10dot4Withdrawals, 6, 2, 1, 1)</f>
        <v>0</v>
      </c>
      <c r="D934" s="159" t="str">
        <f ca="1">IF(OFFSET('IWP06'!Std10dot4Withdrawals, 6, 4, 1, 1) = 0, "", OFFSET('IWP06'!Std10dot4Withdrawals, 6, 4, 1, 1))</f>
        <v/>
      </c>
      <c r="E934" s="164" t="str">
        <f ca="1">IF(OFFSET('IWP06'!Std10dot4Withdrawals, 6, 7, 1, 1) = 0, "", OFFSET('IWP06'!Std10dot4Withdrawals, 6, 7, 1, 1))</f>
        <v/>
      </c>
    </row>
    <row r="935" spans="1:5">
      <c r="A935" s="160" t="s">
        <v>819</v>
      </c>
      <c r="B935" s="108">
        <f ca="1">IF(OFFSET('IWP06'!Std10dot4Withdrawals, 7, 0, 1, 1) =DATE(1900,1,0),DATE(1900,1,1),OFFSET('IWP06'!Std10dot4Withdrawals, 7, 0, 1, 1))</f>
        <v>1</v>
      </c>
      <c r="C935" s="116">
        <f ca="1">OFFSET('IWP06'!Std10dot4Withdrawals, 7, 2, 1, 1)</f>
        <v>0</v>
      </c>
      <c r="D935" s="159" t="str">
        <f ca="1">IF(OFFSET('IWP06'!Std10dot4Withdrawals, 7, 4, 1, 1) = 0, "", OFFSET('IWP06'!Std10dot4Withdrawals, 7, 4, 1, 1))</f>
        <v/>
      </c>
      <c r="E935" s="164" t="str">
        <f ca="1">IF(OFFSET('IWP06'!Std10dot4Withdrawals, 7, 7, 1, 1) = 0, "", OFFSET('IWP06'!Std10dot4Withdrawals, 7, 7, 1, 1))</f>
        <v/>
      </c>
    </row>
    <row r="936" spans="1:5">
      <c r="A936" s="160" t="s">
        <v>819</v>
      </c>
      <c r="B936" s="108">
        <f ca="1">IF(OFFSET('IWP06'!Std10dot4Withdrawals, 8, 0, 1, 1) =DATE(1900,1,0),DATE(1900,1,1),OFFSET('IWP06'!Std10dot4Withdrawals, 8, 0, 1, 1))</f>
        <v>1</v>
      </c>
      <c r="C936" s="116">
        <f ca="1">OFFSET('IWP06'!Std10dot4Withdrawals, 8, 2, 1, 1)</f>
        <v>0</v>
      </c>
      <c r="D936" s="159" t="str">
        <f ca="1">IF(OFFSET('IWP06'!Std10dot4Withdrawals, 8, 4, 1, 1) = 0, "", OFFSET('IWP06'!Std10dot4Withdrawals, 8, 4, 1, 1))</f>
        <v/>
      </c>
      <c r="E936" s="164" t="str">
        <f ca="1">IF(OFFSET('IWP06'!Std10dot4Withdrawals, 8, 7, 1, 1) = 0, "", OFFSET('IWP06'!Std10dot4Withdrawals, 8, 7, 1, 1))</f>
        <v/>
      </c>
    </row>
    <row r="937" spans="1:5">
      <c r="A937" s="160" t="s">
        <v>819</v>
      </c>
      <c r="B937" s="108">
        <f ca="1">IF(OFFSET('IWP06'!Std10dot4Withdrawals, 9, 0, 1, 1) =DATE(1900,1,0),DATE(1900,1,1),OFFSET('IWP06'!Std10dot4Withdrawals, 9, 0, 1, 1))</f>
        <v>1</v>
      </c>
      <c r="C937" s="116">
        <f ca="1">OFFSET('IWP06'!Std10dot4Withdrawals, 9, 2, 1, 1)</f>
        <v>0</v>
      </c>
      <c r="D937" s="159" t="str">
        <f ca="1">IF(OFFSET('IWP06'!Std10dot4Withdrawals, 9, 4, 1, 1) = 0, "", OFFSET('IWP06'!Std10dot4Withdrawals, 9, 4, 1, 1))</f>
        <v/>
      </c>
      <c r="E937" s="164" t="str">
        <f ca="1">IF(OFFSET('IWP06'!Std10dot4Withdrawals, 9, 7, 1, 1) = 0, "", OFFSET('IWP06'!Std10dot4Withdrawals, 9, 7, 1, 1))</f>
        <v/>
      </c>
    </row>
    <row r="938" spans="1:5">
      <c r="A938" s="160" t="s">
        <v>819</v>
      </c>
      <c r="B938" s="108">
        <f ca="1">IF(OFFSET('IWP06'!Std10dot4Withdrawals, 10, 0, 1, 1) =DATE(1900,1,0),DATE(1900,1,1),OFFSET('IWP06'!Std10dot4Withdrawals, 10, 0, 1, 1))</f>
        <v>1</v>
      </c>
      <c r="C938" s="116">
        <f ca="1">OFFSET('IWP06'!Std10dot4Withdrawals, 10, 2, 1, 1)</f>
        <v>0</v>
      </c>
      <c r="D938" s="159" t="str">
        <f ca="1">IF(OFFSET('IWP06'!Std10dot4Withdrawals, 10, 4, 1, 1) = 0, "", OFFSET('IWP06'!Std10dot4Withdrawals, 10, 4, 1, 1))</f>
        <v/>
      </c>
      <c r="E938" s="164" t="str">
        <f ca="1">IF(OFFSET('IWP06'!Std10dot4Withdrawals, 10, 7, 1, 1) = 0, "", OFFSET('IWP06'!Std10dot4Withdrawals, 10, 7, 1, 1))</f>
        <v/>
      </c>
    </row>
    <row r="939" spans="1:5">
      <c r="A939" s="160" t="s">
        <v>819</v>
      </c>
      <c r="B939" s="108">
        <f ca="1">IF(OFFSET('IWP06'!Std10dot4Withdrawals, 11, 0, 1, 1) =DATE(1900,1,0),DATE(1900,1,1),OFFSET('IWP06'!Std10dot4Withdrawals, 11, 0, 1, 1))</f>
        <v>1</v>
      </c>
      <c r="C939" s="116">
        <f ca="1">OFFSET('IWP06'!Std10dot4Withdrawals, 11, 2, 1, 1)</f>
        <v>0</v>
      </c>
      <c r="D939" s="159" t="str">
        <f ca="1">IF(OFFSET('IWP06'!Std10dot4Withdrawals, 11, 4, 1, 1) = 0, "", OFFSET('IWP06'!Std10dot4Withdrawals, 11, 4, 1, 1))</f>
        <v/>
      </c>
      <c r="E939" s="164" t="str">
        <f ca="1">IF(OFFSET('IWP06'!Std10dot4Withdrawals, 11, 7, 1, 1) = 0, "", OFFSET('IWP06'!Std10dot4Withdrawals, 11, 7, 1, 1))</f>
        <v/>
      </c>
    </row>
    <row r="940" spans="1:5">
      <c r="A940" s="160" t="s">
        <v>819</v>
      </c>
      <c r="B940" s="108">
        <f ca="1">IF(OFFSET('IWP06'!Std10dot4Withdrawals, 12, 0, 1, 1) =DATE(1900,1,0),DATE(1900,1,1),OFFSET('IWP06'!Std10dot4Withdrawals, 12, 0, 1, 1))</f>
        <v>1</v>
      </c>
      <c r="C940" s="116">
        <f ca="1">OFFSET('IWP06'!Std10dot4Withdrawals, 12, 2, 1, 1)</f>
        <v>0</v>
      </c>
      <c r="D940" s="159" t="str">
        <f ca="1">IF(OFFSET('IWP06'!Std10dot4Withdrawals, 12, 4, 1, 1) = 0, "", OFFSET('IWP06'!Std10dot4Withdrawals, 12, 4, 1, 1))</f>
        <v/>
      </c>
      <c r="E940" s="164" t="str">
        <f ca="1">IF(OFFSET('IWP06'!Std10dot4Withdrawals, 12, 7, 1, 1) = 0, "", OFFSET('IWP06'!Std10dot4Withdrawals, 12, 7, 1, 1))</f>
        <v/>
      </c>
    </row>
    <row r="941" spans="1:5">
      <c r="A941" s="160" t="s">
        <v>819</v>
      </c>
      <c r="B941" s="108">
        <f ca="1">IF(OFFSET('IWP06'!Std10dot4Withdrawals, 13, 0, 1, 1) =DATE(1900,1,0),DATE(1900,1,1),OFFSET('IWP06'!Std10dot4Withdrawals, 13, 0, 1, 1))</f>
        <v>1</v>
      </c>
      <c r="C941" s="116">
        <f ca="1">OFFSET('IWP06'!Std10dot4Withdrawals, 13, 2, 1, 1)</f>
        <v>0</v>
      </c>
      <c r="D941" s="159" t="str">
        <f ca="1">IF(OFFSET('IWP06'!Std10dot4Withdrawals, 13, 4, 1, 1) = 0, "", OFFSET('IWP06'!Std10dot4Withdrawals, 13, 4, 1, 1))</f>
        <v/>
      </c>
      <c r="E941" s="164" t="str">
        <f ca="1">IF(OFFSET('IWP06'!Std10dot4Withdrawals, 13, 7, 1, 1) = 0, "", OFFSET('IWP06'!Std10dot4Withdrawals, 13, 7, 1, 1))</f>
        <v/>
      </c>
    </row>
    <row r="942" spans="1:5">
      <c r="A942" s="160" t="s">
        <v>819</v>
      </c>
      <c r="B942" s="108">
        <f ca="1">IF(OFFSET('IWP06'!Std10dot4Withdrawals, 14, 0, 1, 1) =DATE(1900,1,0),DATE(1900,1,1),OFFSET('IWP06'!Std10dot4Withdrawals, 14, 0, 1, 1))</f>
        <v>1</v>
      </c>
      <c r="C942" s="116">
        <f ca="1">OFFSET('IWP06'!Std10dot4Withdrawals, 14, 2, 1, 1)</f>
        <v>0</v>
      </c>
      <c r="D942" s="159" t="str">
        <f ca="1">IF(OFFSET('IWP06'!Std10dot4Withdrawals, 14, 4, 1, 1) = 0, "", OFFSET('IWP06'!Std10dot4Withdrawals, 14, 4, 1, 1))</f>
        <v/>
      </c>
      <c r="E942" s="164" t="str">
        <f ca="1">IF(OFFSET('IWP06'!Std10dot4Withdrawals, 14, 7, 1, 1) = 0, "", OFFSET('IWP06'!Std10dot4Withdrawals, 14, 7, 1, 1))</f>
        <v/>
      </c>
    </row>
    <row r="943" spans="1:5">
      <c r="A943" s="160" t="s">
        <v>819</v>
      </c>
      <c r="B943" s="108">
        <f ca="1">IF(OFFSET('IWP06'!Std10dot4Withdrawals, 15, 0, 1, 1) =DATE(1900,1,0),DATE(1900,1,1),OFFSET('IWP06'!Std10dot4Withdrawals, 15, 0, 1, 1))</f>
        <v>1</v>
      </c>
      <c r="C943" s="116">
        <f ca="1">OFFSET('IWP06'!Std10dot4Withdrawals, 15, 2, 1, 1)</f>
        <v>0</v>
      </c>
      <c r="D943" s="159" t="str">
        <f ca="1">IF(OFFSET('IWP06'!Std10dot4Withdrawals, 15, 4, 1, 1) = 0, "", OFFSET('IWP06'!Std10dot4Withdrawals, 15, 4, 1, 1))</f>
        <v/>
      </c>
      <c r="E943" s="164" t="str">
        <f ca="1">IF(OFFSET('IWP06'!Std10dot4Withdrawals, 15, 7, 1, 1) = 0, "", OFFSET('IWP06'!Std10dot4Withdrawals, 15, 7, 1, 1))</f>
        <v/>
      </c>
    </row>
    <row r="944" spans="1:5">
      <c r="A944" s="160" t="s">
        <v>819</v>
      </c>
      <c r="B944" s="108">
        <f ca="1">IF(OFFSET('IWP06'!Std10dot4Withdrawals, 16, 0, 1, 1) =DATE(1900,1,0),DATE(1900,1,1),OFFSET('IWP06'!Std10dot4Withdrawals, 16, 0, 1, 1))</f>
        <v>1</v>
      </c>
      <c r="C944" s="116">
        <f ca="1">OFFSET('IWP06'!Std10dot4Withdrawals, 16, 2, 1, 1)</f>
        <v>0</v>
      </c>
      <c r="D944" s="159" t="str">
        <f ca="1">IF(OFFSET('IWP06'!Std10dot4Withdrawals, 16, 4, 1, 1) = 0, "", OFFSET('IWP06'!Std10dot4Withdrawals, 16, 4, 1, 1))</f>
        <v/>
      </c>
      <c r="E944" s="164" t="str">
        <f ca="1">IF(OFFSET('IWP06'!Std10dot4Withdrawals, 16, 7, 1, 1) = 0, "", OFFSET('IWP06'!Std10dot4Withdrawals, 16, 7, 1, 1))</f>
        <v/>
      </c>
    </row>
    <row r="945" spans="1:5">
      <c r="A945" s="160" t="s">
        <v>819</v>
      </c>
      <c r="B945" s="108">
        <f ca="1">IF(OFFSET('IWP06'!Std10dot4Withdrawals, 17, 0, 1, 1) =DATE(1900,1,0),DATE(1900,1,1),OFFSET('IWP06'!Std10dot4Withdrawals, 17, 0, 1, 1))</f>
        <v>1</v>
      </c>
      <c r="C945" s="116">
        <f ca="1">OFFSET('IWP06'!Std10dot4Withdrawals, 17, 2, 1, 1)</f>
        <v>0</v>
      </c>
      <c r="D945" s="159" t="str">
        <f ca="1">IF(OFFSET('IWP06'!Std10dot4Withdrawals, 17, 4, 1, 1) = 0, "", OFFSET('IWP06'!Std10dot4Withdrawals, 17, 4, 1, 1))</f>
        <v/>
      </c>
      <c r="E945" s="164" t="str">
        <f ca="1">IF(OFFSET('IWP06'!Std10dot4Withdrawals, 17, 7, 1, 1) = 0, "", OFFSET('IWP06'!Std10dot4Withdrawals, 17, 7, 1, 1))</f>
        <v/>
      </c>
    </row>
    <row r="946" spans="1:5">
      <c r="A946" s="160" t="s">
        <v>819</v>
      </c>
      <c r="B946" s="108">
        <f ca="1">IF(OFFSET('IWP06'!Std10dot4Withdrawals, 18, 0, 1, 1) =DATE(1900,1,0),DATE(1900,1,1),OFFSET('IWP06'!Std10dot4Withdrawals, 18, 0, 1, 1))</f>
        <v>1</v>
      </c>
      <c r="C946" s="116">
        <f ca="1">OFFSET('IWP06'!Std10dot4Withdrawals, 18, 2, 1, 1)</f>
        <v>0</v>
      </c>
      <c r="D946" s="159" t="str">
        <f ca="1">IF(OFFSET('IWP06'!Std10dot4Withdrawals, 18, 4, 1, 1) = 0, "", OFFSET('IWP06'!Std10dot4Withdrawals, 18, 4, 1, 1))</f>
        <v/>
      </c>
      <c r="E946" s="164" t="str">
        <f ca="1">IF(OFFSET('IWP06'!Std10dot4Withdrawals, 18, 7, 1, 1) = 0, "", OFFSET('IWP06'!Std10dot4Withdrawals, 18, 7, 1, 1))</f>
        <v/>
      </c>
    </row>
    <row r="947" spans="1:5">
      <c r="A947" s="160" t="s">
        <v>819</v>
      </c>
      <c r="B947" s="108">
        <f ca="1">IF(OFFSET('IWP06'!Std10dot4Withdrawals, 19, 0, 1, 1) =DATE(1900,1,0),DATE(1900,1,1),OFFSET('IWP06'!Std10dot4Withdrawals, 19, 0, 1, 1))</f>
        <v>1</v>
      </c>
      <c r="C947" s="116">
        <f ca="1">OFFSET('IWP06'!Std10dot4Withdrawals, 19, 2, 1, 1)</f>
        <v>0</v>
      </c>
      <c r="D947" s="159" t="str">
        <f ca="1">IF(OFFSET('IWP06'!Std10dot4Withdrawals, 19, 4, 1, 1) = 0, "", OFFSET('IWP06'!Std10dot4Withdrawals, 19, 4, 1, 1))</f>
        <v/>
      </c>
      <c r="E947" s="164" t="str">
        <f ca="1">IF(OFFSET('IWP06'!Std10dot4Withdrawals, 19, 7, 1, 1) = 0, "", OFFSET('IWP06'!Std10dot4Withdrawals, 19, 7, 1, 1))</f>
        <v/>
      </c>
    </row>
    <row r="948" spans="1:5">
      <c r="A948" s="160" t="s">
        <v>820</v>
      </c>
      <c r="B948" s="108">
        <f ca="1">IF(OFFSET('IWP07'!Std10dot4Withdrawals, 0, 0, 1, 1) =DATE(1900,1,0),DATE(1900,1,1),OFFSET('IWP07'!Std10dot4Withdrawals, 0, 0, 1, 1))</f>
        <v>1</v>
      </c>
      <c r="C948" s="116">
        <f ca="1">OFFSET('IWP07'!Std10dot4Withdrawals, 0, 2, 1, 1)</f>
        <v>0</v>
      </c>
      <c r="D948" s="159" t="str">
        <f ca="1">IF(OFFSET('IWP07'!Std10dot4Withdrawals, 0, 4, 1, 1) = 0, "", OFFSET('IWP07'!Std10dot4Withdrawals, 0, 4, 1, 1))</f>
        <v/>
      </c>
      <c r="E948" s="164" t="str">
        <f ca="1">IF(OFFSET('IWP07'!Std10dot4Withdrawals, 0, 7, 1, 1) = 0, "", OFFSET('IWP07'!Std10dot4Withdrawals, 0, 7, 1, 1))</f>
        <v/>
      </c>
    </row>
    <row r="949" spans="1:5">
      <c r="A949" s="160" t="s">
        <v>820</v>
      </c>
      <c r="B949" s="108">
        <f ca="1">IF(OFFSET('IWP07'!Std10dot4Withdrawals, 1, 0, 1, 1) =DATE(1900,1,0),DATE(1900,1,1),OFFSET('IWP07'!Std10dot4Withdrawals, 1, 0, 1, 1))</f>
        <v>1</v>
      </c>
      <c r="C949" s="116">
        <f ca="1">OFFSET('IWP07'!Std10dot4Withdrawals, 1, 2, 1, 1)</f>
        <v>0</v>
      </c>
      <c r="D949" s="159" t="str">
        <f ca="1">IF(OFFSET('IWP07'!Std10dot4Withdrawals, 1, 4, 1, 1) = 0, "", OFFSET('IWP07'!Std10dot4Withdrawals, 1, 4, 1, 1))</f>
        <v/>
      </c>
      <c r="E949" s="164" t="str">
        <f ca="1">IF(OFFSET('IWP07'!Std10dot4Withdrawals, 1, 7, 1, 1) = 0, "", OFFSET('IWP07'!Std10dot4Withdrawals, 1, 7, 1, 1))</f>
        <v/>
      </c>
    </row>
    <row r="950" spans="1:5">
      <c r="A950" s="160" t="s">
        <v>820</v>
      </c>
      <c r="B950" s="108">
        <f ca="1">IF(OFFSET('IWP07'!Std10dot4Withdrawals, 2, 0, 1, 1) =DATE(1900,1,0),DATE(1900,1,1),OFFSET('IWP07'!Std10dot4Withdrawals, 2, 0, 1, 1))</f>
        <v>1</v>
      </c>
      <c r="C950" s="116">
        <f ca="1">OFFSET('IWP07'!Std10dot4Withdrawals, 2, 2, 1, 1)</f>
        <v>0</v>
      </c>
      <c r="D950" s="159" t="str">
        <f ca="1">IF(OFFSET('IWP07'!Std10dot4Withdrawals, 2, 4, 1, 1) = 0, "", OFFSET('IWP07'!Std10dot4Withdrawals, 2, 4, 1, 1))</f>
        <v/>
      </c>
      <c r="E950" s="164" t="str">
        <f ca="1">IF(OFFSET('IWP07'!Std10dot4Withdrawals, 2, 7, 1, 1) = 0, "", OFFSET('IWP07'!Std10dot4Withdrawals, 2, 7, 1, 1))</f>
        <v/>
      </c>
    </row>
    <row r="951" spans="1:5">
      <c r="A951" s="160" t="s">
        <v>820</v>
      </c>
      <c r="B951" s="108">
        <f ca="1">IF(OFFSET('IWP07'!Std10dot4Withdrawals, 3, 0, 1, 1) =DATE(1900,1,0),DATE(1900,1,1),OFFSET('IWP07'!Std10dot4Withdrawals, 3, 0, 1, 1))</f>
        <v>1</v>
      </c>
      <c r="C951" s="116">
        <f ca="1">OFFSET('IWP07'!Std10dot4Withdrawals, 3, 2, 1, 1)</f>
        <v>0</v>
      </c>
      <c r="D951" s="159" t="str">
        <f ca="1">IF(OFFSET('IWP07'!Std10dot4Withdrawals, 3, 4, 1, 1) = 0, "", OFFSET('IWP07'!Std10dot4Withdrawals, 3, 4, 1, 1))</f>
        <v/>
      </c>
      <c r="E951" s="164" t="str">
        <f ca="1">IF(OFFSET('IWP07'!Std10dot4Withdrawals, 3, 7, 1, 1) = 0, "", OFFSET('IWP07'!Std10dot4Withdrawals, 3, 7, 1, 1))</f>
        <v/>
      </c>
    </row>
    <row r="952" spans="1:5">
      <c r="A952" s="160" t="s">
        <v>820</v>
      </c>
      <c r="B952" s="108">
        <f ca="1">IF(OFFSET('IWP07'!Std10dot4Withdrawals, 4, 0, 1, 1) =DATE(1900,1,0),DATE(1900,1,1),OFFSET('IWP07'!Std10dot4Withdrawals, 4, 0, 1, 1))</f>
        <v>1</v>
      </c>
      <c r="C952" s="116">
        <f ca="1">OFFSET('IWP07'!Std10dot4Withdrawals, 4, 2, 1, 1)</f>
        <v>0</v>
      </c>
      <c r="D952" s="159" t="str">
        <f ca="1">IF(OFFSET('IWP07'!Std10dot4Withdrawals, 4, 4, 1, 1) = 0, "", OFFSET('IWP07'!Std10dot4Withdrawals, 4, 4, 1, 1))</f>
        <v/>
      </c>
      <c r="E952" s="164" t="str">
        <f ca="1">IF(OFFSET('IWP07'!Std10dot4Withdrawals, 4, 7, 1, 1) = 0, "", OFFSET('IWP07'!Std10dot4Withdrawals, 4, 7, 1, 1))</f>
        <v/>
      </c>
    </row>
    <row r="953" spans="1:5">
      <c r="A953" s="160" t="s">
        <v>820</v>
      </c>
      <c r="B953" s="108">
        <f ca="1">IF(OFFSET('IWP07'!Std10dot4Withdrawals, 5, 0, 1, 1) =DATE(1900,1,0),DATE(1900,1,1),OFFSET('IWP07'!Std10dot4Withdrawals, 5, 0, 1, 1))</f>
        <v>1</v>
      </c>
      <c r="C953" s="116">
        <f ca="1">OFFSET('IWP07'!Std10dot4Withdrawals, 5, 2, 1, 1)</f>
        <v>0</v>
      </c>
      <c r="D953" s="159" t="str">
        <f ca="1">IF(OFFSET('IWP07'!Std10dot4Withdrawals, 5, 4, 1, 1) = 0, "", OFFSET('IWP07'!Std10dot4Withdrawals, 5, 4, 1, 1))</f>
        <v/>
      </c>
      <c r="E953" s="164" t="str">
        <f ca="1">IF(OFFSET('IWP07'!Std10dot4Withdrawals, 5, 7, 1, 1) = 0, "", OFFSET('IWP07'!Std10dot4Withdrawals, 5, 7, 1, 1))</f>
        <v/>
      </c>
    </row>
    <row r="954" spans="1:5">
      <c r="A954" s="160" t="s">
        <v>820</v>
      </c>
      <c r="B954" s="108">
        <f ca="1">IF(OFFSET('IWP07'!Std10dot4Withdrawals, 6, 0, 1, 1) =DATE(1900,1,0),DATE(1900,1,1),OFFSET('IWP07'!Std10dot4Withdrawals, 6, 0, 1, 1))</f>
        <v>1</v>
      </c>
      <c r="C954" s="116">
        <f ca="1">OFFSET('IWP07'!Std10dot4Withdrawals, 6, 2, 1, 1)</f>
        <v>0</v>
      </c>
      <c r="D954" s="159" t="str">
        <f ca="1">IF(OFFSET('IWP07'!Std10dot4Withdrawals, 6, 4, 1, 1) = 0, "", OFFSET('IWP07'!Std10dot4Withdrawals, 6, 4, 1, 1))</f>
        <v/>
      </c>
      <c r="E954" s="164" t="str">
        <f ca="1">IF(OFFSET('IWP07'!Std10dot4Withdrawals, 6, 7, 1, 1) = 0, "", OFFSET('IWP07'!Std10dot4Withdrawals, 6, 7, 1, 1))</f>
        <v/>
      </c>
    </row>
    <row r="955" spans="1:5">
      <c r="A955" s="160" t="s">
        <v>820</v>
      </c>
      <c r="B955" s="108">
        <f ca="1">IF(OFFSET('IWP07'!Std10dot4Withdrawals, 7, 0, 1, 1) =DATE(1900,1,0),DATE(1900,1,1),OFFSET('IWP07'!Std10dot4Withdrawals, 7, 0, 1, 1))</f>
        <v>1</v>
      </c>
      <c r="C955" s="116">
        <f ca="1">OFFSET('IWP07'!Std10dot4Withdrawals, 7, 2, 1, 1)</f>
        <v>0</v>
      </c>
      <c r="D955" s="159" t="str">
        <f ca="1">IF(OFFSET('IWP07'!Std10dot4Withdrawals, 7, 4, 1, 1) = 0, "", OFFSET('IWP07'!Std10dot4Withdrawals, 7, 4, 1, 1))</f>
        <v/>
      </c>
      <c r="E955" s="164" t="str">
        <f ca="1">IF(OFFSET('IWP07'!Std10dot4Withdrawals, 7, 7, 1, 1) = 0, "", OFFSET('IWP07'!Std10dot4Withdrawals, 7, 7, 1, 1))</f>
        <v/>
      </c>
    </row>
    <row r="956" spans="1:5">
      <c r="A956" s="160" t="s">
        <v>820</v>
      </c>
      <c r="B956" s="108">
        <f ca="1">IF(OFFSET('IWP07'!Std10dot4Withdrawals, 8, 0, 1, 1) =DATE(1900,1,0),DATE(1900,1,1),OFFSET('IWP07'!Std10dot4Withdrawals, 8, 0, 1, 1))</f>
        <v>1</v>
      </c>
      <c r="C956" s="116">
        <f ca="1">OFFSET('IWP07'!Std10dot4Withdrawals, 8, 2, 1, 1)</f>
        <v>0</v>
      </c>
      <c r="D956" s="159" t="str">
        <f ca="1">IF(OFFSET('IWP07'!Std10dot4Withdrawals, 8, 4, 1, 1) = 0, "", OFFSET('IWP07'!Std10dot4Withdrawals, 8, 4, 1, 1))</f>
        <v/>
      </c>
      <c r="E956" s="164" t="str">
        <f ca="1">IF(OFFSET('IWP07'!Std10dot4Withdrawals, 8, 7, 1, 1) = 0, "", OFFSET('IWP07'!Std10dot4Withdrawals, 8, 7, 1, 1))</f>
        <v/>
      </c>
    </row>
    <row r="957" spans="1:5">
      <c r="A957" s="160" t="s">
        <v>820</v>
      </c>
      <c r="B957" s="108">
        <f ca="1">IF(OFFSET('IWP07'!Std10dot4Withdrawals, 9, 0, 1, 1) =DATE(1900,1,0),DATE(1900,1,1),OFFSET('IWP07'!Std10dot4Withdrawals, 9, 0, 1, 1))</f>
        <v>1</v>
      </c>
      <c r="C957" s="116">
        <f ca="1">OFFSET('IWP07'!Std10dot4Withdrawals, 9, 2, 1, 1)</f>
        <v>0</v>
      </c>
      <c r="D957" s="159" t="str">
        <f ca="1">IF(OFFSET('IWP07'!Std10dot4Withdrawals, 9, 4, 1, 1) = 0, "", OFFSET('IWP07'!Std10dot4Withdrawals, 9, 4, 1, 1))</f>
        <v/>
      </c>
      <c r="E957" s="164" t="str">
        <f ca="1">IF(OFFSET('IWP07'!Std10dot4Withdrawals, 9, 7, 1, 1) = 0, "", OFFSET('IWP07'!Std10dot4Withdrawals, 9, 7, 1, 1))</f>
        <v/>
      </c>
    </row>
    <row r="958" spans="1:5">
      <c r="A958" s="160" t="s">
        <v>820</v>
      </c>
      <c r="B958" s="108">
        <f ca="1">IF(OFFSET('IWP07'!Std10dot4Withdrawals, 10, 0, 1, 1) =DATE(1900,1,0),DATE(1900,1,1),OFFSET('IWP07'!Std10dot4Withdrawals, 10, 0, 1, 1))</f>
        <v>1</v>
      </c>
      <c r="C958" s="116">
        <f ca="1">OFFSET('IWP07'!Std10dot4Withdrawals, 10, 2, 1, 1)</f>
        <v>0</v>
      </c>
      <c r="D958" s="159" t="str">
        <f ca="1">IF(OFFSET('IWP07'!Std10dot4Withdrawals, 10, 4, 1, 1) = 0, "", OFFSET('IWP07'!Std10dot4Withdrawals, 10, 4, 1, 1))</f>
        <v/>
      </c>
      <c r="E958" s="164" t="str">
        <f ca="1">IF(OFFSET('IWP07'!Std10dot4Withdrawals, 10, 7, 1, 1) = 0, "", OFFSET('IWP07'!Std10dot4Withdrawals, 10, 7, 1, 1))</f>
        <v/>
      </c>
    </row>
    <row r="959" spans="1:5">
      <c r="A959" s="160" t="s">
        <v>820</v>
      </c>
      <c r="B959" s="108">
        <f ca="1">IF(OFFSET('IWP07'!Std10dot4Withdrawals, 11, 0, 1, 1) =DATE(1900,1,0),DATE(1900,1,1),OFFSET('IWP07'!Std10dot4Withdrawals, 11, 0, 1, 1))</f>
        <v>1</v>
      </c>
      <c r="C959" s="116">
        <f ca="1">OFFSET('IWP07'!Std10dot4Withdrawals, 11, 2, 1, 1)</f>
        <v>0</v>
      </c>
      <c r="D959" s="159" t="str">
        <f ca="1">IF(OFFSET('IWP07'!Std10dot4Withdrawals, 11, 4, 1, 1) = 0, "", OFFSET('IWP07'!Std10dot4Withdrawals, 11, 4, 1, 1))</f>
        <v/>
      </c>
      <c r="E959" s="164" t="str">
        <f ca="1">IF(OFFSET('IWP07'!Std10dot4Withdrawals, 11, 7, 1, 1) = 0, "", OFFSET('IWP07'!Std10dot4Withdrawals, 11, 7, 1, 1))</f>
        <v/>
      </c>
    </row>
    <row r="960" spans="1:5">
      <c r="A960" s="160" t="s">
        <v>820</v>
      </c>
      <c r="B960" s="108">
        <f ca="1">IF(OFFSET('IWP07'!Std10dot4Withdrawals, 12, 0, 1, 1) =DATE(1900,1,0),DATE(1900,1,1),OFFSET('IWP07'!Std10dot4Withdrawals, 12, 0, 1, 1))</f>
        <v>1</v>
      </c>
      <c r="C960" s="116">
        <f ca="1">OFFSET('IWP07'!Std10dot4Withdrawals, 12, 2, 1, 1)</f>
        <v>0</v>
      </c>
      <c r="D960" s="159" t="str">
        <f ca="1">IF(OFFSET('IWP07'!Std10dot4Withdrawals, 12, 4, 1, 1) = 0, "", OFFSET('IWP07'!Std10dot4Withdrawals, 12, 4, 1, 1))</f>
        <v/>
      </c>
      <c r="E960" s="164" t="str">
        <f ca="1">IF(OFFSET('IWP07'!Std10dot4Withdrawals, 12, 7, 1, 1) = 0, "", OFFSET('IWP07'!Std10dot4Withdrawals, 12, 7, 1, 1))</f>
        <v/>
      </c>
    </row>
    <row r="961" spans="1:5">
      <c r="A961" s="160" t="s">
        <v>820</v>
      </c>
      <c r="B961" s="108">
        <f ca="1">IF(OFFSET('IWP07'!Std10dot4Withdrawals, 13, 0, 1, 1) =DATE(1900,1,0),DATE(1900,1,1),OFFSET('IWP07'!Std10dot4Withdrawals, 13, 0, 1, 1))</f>
        <v>1</v>
      </c>
      <c r="C961" s="116">
        <f ca="1">OFFSET('IWP07'!Std10dot4Withdrawals, 13, 2, 1, 1)</f>
        <v>0</v>
      </c>
      <c r="D961" s="159" t="str">
        <f ca="1">IF(OFFSET('IWP07'!Std10dot4Withdrawals, 13, 4, 1, 1) = 0, "", OFFSET('IWP07'!Std10dot4Withdrawals, 13, 4, 1, 1))</f>
        <v/>
      </c>
      <c r="E961" s="164" t="str">
        <f ca="1">IF(OFFSET('IWP07'!Std10dot4Withdrawals, 13, 7, 1, 1) = 0, "", OFFSET('IWP07'!Std10dot4Withdrawals, 13, 7, 1, 1))</f>
        <v/>
      </c>
    </row>
    <row r="962" spans="1:5">
      <c r="A962" s="160" t="s">
        <v>820</v>
      </c>
      <c r="B962" s="108">
        <f ca="1">IF(OFFSET('IWP07'!Std10dot4Withdrawals, 14, 0, 1, 1) =DATE(1900,1,0),DATE(1900,1,1),OFFSET('IWP07'!Std10dot4Withdrawals, 14, 0, 1, 1))</f>
        <v>1</v>
      </c>
      <c r="C962" s="116">
        <f ca="1">OFFSET('IWP07'!Std10dot4Withdrawals, 14, 2, 1, 1)</f>
        <v>0</v>
      </c>
      <c r="D962" s="159" t="str">
        <f ca="1">IF(OFFSET('IWP07'!Std10dot4Withdrawals, 14, 4, 1, 1) = 0, "", OFFSET('IWP07'!Std10dot4Withdrawals, 14, 4, 1, 1))</f>
        <v/>
      </c>
      <c r="E962" s="164" t="str">
        <f ca="1">IF(OFFSET('IWP07'!Std10dot4Withdrawals, 14, 7, 1, 1) = 0, "", OFFSET('IWP07'!Std10dot4Withdrawals, 14, 7, 1, 1))</f>
        <v/>
      </c>
    </row>
    <row r="963" spans="1:5">
      <c r="A963" s="160" t="s">
        <v>820</v>
      </c>
      <c r="B963" s="108">
        <f ca="1">IF(OFFSET('IWP07'!Std10dot4Withdrawals, 15, 0, 1, 1) =DATE(1900,1,0),DATE(1900,1,1),OFFSET('IWP07'!Std10dot4Withdrawals, 15, 0, 1, 1))</f>
        <v>1</v>
      </c>
      <c r="C963" s="116">
        <f ca="1">OFFSET('IWP07'!Std10dot4Withdrawals, 15, 2, 1, 1)</f>
        <v>0</v>
      </c>
      <c r="D963" s="159" t="str">
        <f ca="1">IF(OFFSET('IWP07'!Std10dot4Withdrawals, 15, 4, 1, 1) = 0, "", OFFSET('IWP07'!Std10dot4Withdrawals, 15, 4, 1, 1))</f>
        <v/>
      </c>
      <c r="E963" s="164" t="str">
        <f ca="1">IF(OFFSET('IWP07'!Std10dot4Withdrawals, 15, 7, 1, 1) = 0, "", OFFSET('IWP07'!Std10dot4Withdrawals, 15, 7, 1, 1))</f>
        <v/>
      </c>
    </row>
    <row r="964" spans="1:5">
      <c r="A964" s="160" t="s">
        <v>820</v>
      </c>
      <c r="B964" s="108">
        <f ca="1">IF(OFFSET('IWP07'!Std10dot4Withdrawals, 16, 0, 1, 1) =DATE(1900,1,0),DATE(1900,1,1),OFFSET('IWP07'!Std10dot4Withdrawals, 16, 0, 1, 1))</f>
        <v>1</v>
      </c>
      <c r="C964" s="116">
        <f ca="1">OFFSET('IWP07'!Std10dot4Withdrawals, 16, 2, 1, 1)</f>
        <v>0</v>
      </c>
      <c r="D964" s="159" t="str">
        <f ca="1">IF(OFFSET('IWP07'!Std10dot4Withdrawals, 16, 4, 1, 1) = 0, "", OFFSET('IWP07'!Std10dot4Withdrawals, 16, 4, 1, 1))</f>
        <v/>
      </c>
      <c r="E964" s="164" t="str">
        <f ca="1">IF(OFFSET('IWP07'!Std10dot4Withdrawals, 16, 7, 1, 1) = 0, "", OFFSET('IWP07'!Std10dot4Withdrawals, 16, 7, 1, 1))</f>
        <v/>
      </c>
    </row>
    <row r="965" spans="1:5">
      <c r="A965" s="160" t="s">
        <v>820</v>
      </c>
      <c r="B965" s="108">
        <f ca="1">IF(OFFSET('IWP07'!Std10dot4Withdrawals, 17, 0, 1, 1) =DATE(1900,1,0),DATE(1900,1,1),OFFSET('IWP07'!Std10dot4Withdrawals, 17, 0, 1, 1))</f>
        <v>1</v>
      </c>
      <c r="C965" s="116">
        <f ca="1">OFFSET('IWP07'!Std10dot4Withdrawals, 17, 2, 1, 1)</f>
        <v>0</v>
      </c>
      <c r="D965" s="159" t="str">
        <f ca="1">IF(OFFSET('IWP07'!Std10dot4Withdrawals, 17, 4, 1, 1) = 0, "", OFFSET('IWP07'!Std10dot4Withdrawals, 17, 4, 1, 1))</f>
        <v/>
      </c>
      <c r="E965" s="164" t="str">
        <f ca="1">IF(OFFSET('IWP07'!Std10dot4Withdrawals, 17, 7, 1, 1) = 0, "", OFFSET('IWP07'!Std10dot4Withdrawals, 17, 7, 1, 1))</f>
        <v/>
      </c>
    </row>
    <row r="966" spans="1:5">
      <c r="A966" s="160" t="s">
        <v>820</v>
      </c>
      <c r="B966" s="108">
        <f ca="1">IF(OFFSET('IWP07'!Std10dot4Withdrawals, 18, 0, 1, 1) =DATE(1900,1,0),DATE(1900,1,1),OFFSET('IWP07'!Std10dot4Withdrawals, 18, 0, 1, 1))</f>
        <v>1</v>
      </c>
      <c r="C966" s="116">
        <f ca="1">OFFSET('IWP07'!Std10dot4Withdrawals, 18, 2, 1, 1)</f>
        <v>0</v>
      </c>
      <c r="D966" s="159" t="str">
        <f ca="1">IF(OFFSET('IWP07'!Std10dot4Withdrawals, 18, 4, 1, 1) = 0, "", OFFSET('IWP07'!Std10dot4Withdrawals, 18, 4, 1, 1))</f>
        <v/>
      </c>
      <c r="E966" s="164" t="str">
        <f ca="1">IF(OFFSET('IWP07'!Std10dot4Withdrawals, 18, 7, 1, 1) = 0, "", OFFSET('IWP07'!Std10dot4Withdrawals, 18, 7, 1, 1))</f>
        <v/>
      </c>
    </row>
    <row r="967" spans="1:5">
      <c r="A967" s="160" t="s">
        <v>820</v>
      </c>
      <c r="B967" s="108">
        <f ca="1">IF(OFFSET('IWP07'!Std10dot4Withdrawals, 19, 0, 1, 1) =DATE(1900,1,0),DATE(1900,1,1),OFFSET('IWP07'!Std10dot4Withdrawals, 19, 0, 1, 1))</f>
        <v>1</v>
      </c>
      <c r="C967" s="116">
        <f ca="1">OFFSET('IWP07'!Std10dot4Withdrawals, 19, 2, 1, 1)</f>
        <v>0</v>
      </c>
      <c r="D967" s="159" t="str">
        <f ca="1">IF(OFFSET('IWP07'!Std10dot4Withdrawals, 19, 4, 1, 1) = 0, "", OFFSET('IWP07'!Std10dot4Withdrawals, 19, 4, 1, 1))</f>
        <v/>
      </c>
      <c r="E967" s="164" t="str">
        <f ca="1">IF(OFFSET('IWP07'!Std10dot4Withdrawals, 19, 7, 1, 1) = 0, "", OFFSET('IWP07'!Std10dot4Withdrawals, 19, 7, 1, 1))</f>
        <v/>
      </c>
    </row>
    <row r="968" spans="1:5">
      <c r="A968" s="160" t="s">
        <v>821</v>
      </c>
      <c r="B968" s="108">
        <f ca="1">IF(OFFSET('IWP08'!Std10dot4Withdrawals, 0, 0, 1, 1) =DATE(1900,1,0),DATE(1900,1,1),OFFSET('IWP08'!Std10dot4Withdrawals, 0, 0, 1, 1))</f>
        <v>1</v>
      </c>
      <c r="C968" s="116">
        <f ca="1">OFFSET('IWP08'!Std10dot4Withdrawals, 0, 2, 1, 1)</f>
        <v>0</v>
      </c>
      <c r="D968" s="159" t="str">
        <f ca="1">IF(OFFSET('IWP08'!Std10dot4Withdrawals, 0, 4, 1, 1) = 0, "", OFFSET('IWP08'!Std10dot4Withdrawals, 0, 4, 1, 1))</f>
        <v/>
      </c>
      <c r="E968" s="164" t="str">
        <f ca="1">IF(OFFSET('IWP08'!Std10dot4Withdrawals, 0, 7, 1, 1) = 0, "", OFFSET('IWP08'!Std10dot4Withdrawals, 0, 7, 1, 1))</f>
        <v/>
      </c>
    </row>
    <row r="969" spans="1:5">
      <c r="A969" s="160" t="s">
        <v>821</v>
      </c>
      <c r="B969" s="108">
        <f ca="1">IF(OFFSET('IWP08'!Std10dot4Withdrawals, 1, 0, 1, 1) =DATE(1900,1,0),DATE(1900,1,1),OFFSET('IWP08'!Std10dot4Withdrawals, 1, 0, 1, 1))</f>
        <v>1</v>
      </c>
      <c r="C969" s="116">
        <f ca="1">OFFSET('IWP08'!Std10dot4Withdrawals, 1, 2, 1, 1)</f>
        <v>0</v>
      </c>
      <c r="D969" s="159" t="str">
        <f ca="1">IF(OFFSET('IWP08'!Std10dot4Withdrawals, 1, 4, 1, 1) = 0, "", OFFSET('IWP08'!Std10dot4Withdrawals, 1, 4, 1, 1))</f>
        <v/>
      </c>
      <c r="E969" s="164" t="str">
        <f ca="1">IF(OFFSET('IWP08'!Std10dot4Withdrawals, 1, 7, 1, 1) = 0, "", OFFSET('IWP08'!Std10dot4Withdrawals, 1, 7, 1, 1))</f>
        <v/>
      </c>
    </row>
    <row r="970" spans="1:5">
      <c r="A970" s="160" t="s">
        <v>821</v>
      </c>
      <c r="B970" s="108">
        <f ca="1">IF(OFFSET('IWP08'!Std10dot4Withdrawals, 2, 0, 1, 1) =DATE(1900,1,0),DATE(1900,1,1),OFFSET('IWP08'!Std10dot4Withdrawals, 2, 0, 1, 1))</f>
        <v>1</v>
      </c>
      <c r="C970" s="116">
        <f ca="1">OFFSET('IWP08'!Std10dot4Withdrawals, 2, 2, 1, 1)</f>
        <v>0</v>
      </c>
      <c r="D970" s="159" t="str">
        <f ca="1">IF(OFFSET('IWP08'!Std10dot4Withdrawals, 2, 4, 1, 1) = 0, "", OFFSET('IWP08'!Std10dot4Withdrawals, 2, 4, 1, 1))</f>
        <v/>
      </c>
      <c r="E970" s="164" t="str">
        <f ca="1">IF(OFFSET('IWP08'!Std10dot4Withdrawals, 2, 7, 1, 1) = 0, "", OFFSET('IWP08'!Std10dot4Withdrawals, 2, 7, 1, 1))</f>
        <v/>
      </c>
    </row>
    <row r="971" spans="1:5">
      <c r="A971" s="160" t="s">
        <v>821</v>
      </c>
      <c r="B971" s="108">
        <f ca="1">IF(OFFSET('IWP08'!Std10dot4Withdrawals, 3, 0, 1, 1) =DATE(1900,1,0),DATE(1900,1,1),OFFSET('IWP08'!Std10dot4Withdrawals, 3, 0, 1, 1))</f>
        <v>1</v>
      </c>
      <c r="C971" s="116">
        <f ca="1">OFFSET('IWP08'!Std10dot4Withdrawals, 3, 2, 1, 1)</f>
        <v>0</v>
      </c>
      <c r="D971" s="159" t="str">
        <f ca="1">IF(OFFSET('IWP08'!Std10dot4Withdrawals, 3, 4, 1, 1) = 0, "", OFFSET('IWP08'!Std10dot4Withdrawals, 3, 4, 1, 1))</f>
        <v/>
      </c>
      <c r="E971" s="164" t="str">
        <f ca="1">IF(OFFSET('IWP08'!Std10dot4Withdrawals, 3, 7, 1, 1) = 0, "", OFFSET('IWP08'!Std10dot4Withdrawals, 3, 7, 1, 1))</f>
        <v/>
      </c>
    </row>
    <row r="972" spans="1:5">
      <c r="A972" s="160" t="s">
        <v>821</v>
      </c>
      <c r="B972" s="108">
        <f ca="1">IF(OFFSET('IWP08'!Std10dot4Withdrawals, 4, 0, 1, 1) =DATE(1900,1,0),DATE(1900,1,1),OFFSET('IWP08'!Std10dot4Withdrawals, 4, 0, 1, 1))</f>
        <v>1</v>
      </c>
      <c r="C972" s="116">
        <f ca="1">OFFSET('IWP08'!Std10dot4Withdrawals, 4, 2, 1, 1)</f>
        <v>0</v>
      </c>
      <c r="D972" s="159" t="str">
        <f ca="1">IF(OFFSET('IWP08'!Std10dot4Withdrawals, 4, 4, 1, 1) = 0, "", OFFSET('IWP08'!Std10dot4Withdrawals, 4, 4, 1, 1))</f>
        <v/>
      </c>
      <c r="E972" s="164" t="str">
        <f ca="1">IF(OFFSET('IWP08'!Std10dot4Withdrawals, 4, 7, 1, 1) = 0, "", OFFSET('IWP08'!Std10dot4Withdrawals, 4, 7, 1, 1))</f>
        <v/>
      </c>
    </row>
    <row r="973" spans="1:5">
      <c r="A973" s="160" t="s">
        <v>821</v>
      </c>
      <c r="B973" s="108">
        <f ca="1">IF(OFFSET('IWP08'!Std10dot4Withdrawals, 5, 0, 1, 1) =DATE(1900,1,0),DATE(1900,1,1),OFFSET('IWP08'!Std10dot4Withdrawals, 5, 0, 1, 1))</f>
        <v>1</v>
      </c>
      <c r="C973" s="116">
        <f ca="1">OFFSET('IWP08'!Std10dot4Withdrawals, 5, 2, 1, 1)</f>
        <v>0</v>
      </c>
      <c r="D973" s="159" t="str">
        <f ca="1">IF(OFFSET('IWP08'!Std10dot4Withdrawals, 5, 4, 1, 1) = 0, "", OFFSET('IWP08'!Std10dot4Withdrawals, 5, 4, 1, 1))</f>
        <v/>
      </c>
      <c r="E973" s="164" t="str">
        <f ca="1">IF(OFFSET('IWP08'!Std10dot4Withdrawals, 5, 7, 1, 1) = 0, "", OFFSET('IWP08'!Std10dot4Withdrawals, 5, 7, 1, 1))</f>
        <v/>
      </c>
    </row>
    <row r="974" spans="1:5">
      <c r="A974" s="160" t="s">
        <v>821</v>
      </c>
      <c r="B974" s="108">
        <f ca="1">IF(OFFSET('IWP08'!Std10dot4Withdrawals, 6, 0, 1, 1) =DATE(1900,1,0),DATE(1900,1,1),OFFSET('IWP08'!Std10dot4Withdrawals, 6, 0, 1, 1))</f>
        <v>1</v>
      </c>
      <c r="C974" s="116">
        <f ca="1">OFFSET('IWP08'!Std10dot4Withdrawals, 6, 2, 1, 1)</f>
        <v>0</v>
      </c>
      <c r="D974" s="159" t="str">
        <f ca="1">IF(OFFSET('IWP08'!Std10dot4Withdrawals, 6, 4, 1, 1) = 0, "", OFFSET('IWP08'!Std10dot4Withdrawals, 6, 4, 1, 1))</f>
        <v/>
      </c>
      <c r="E974" s="164" t="str">
        <f ca="1">IF(OFFSET('IWP08'!Std10dot4Withdrawals, 6, 7, 1, 1) = 0, "", OFFSET('IWP08'!Std10dot4Withdrawals, 6, 7, 1, 1))</f>
        <v/>
      </c>
    </row>
    <row r="975" spans="1:5">
      <c r="A975" s="160" t="s">
        <v>821</v>
      </c>
      <c r="B975" s="108">
        <f ca="1">IF(OFFSET('IWP08'!Std10dot4Withdrawals, 7, 0, 1, 1) =DATE(1900,1,0),DATE(1900,1,1),OFFSET('IWP08'!Std10dot4Withdrawals, 7, 0, 1, 1))</f>
        <v>1</v>
      </c>
      <c r="C975" s="116">
        <f ca="1">OFFSET('IWP08'!Std10dot4Withdrawals, 7, 2, 1, 1)</f>
        <v>0</v>
      </c>
      <c r="D975" s="159" t="str">
        <f ca="1">IF(OFFSET('IWP08'!Std10dot4Withdrawals, 7, 4, 1, 1) = 0, "", OFFSET('IWP08'!Std10dot4Withdrawals, 7, 4, 1, 1))</f>
        <v/>
      </c>
      <c r="E975" s="164" t="str">
        <f ca="1">IF(OFFSET('IWP08'!Std10dot4Withdrawals, 7, 7, 1, 1) = 0, "", OFFSET('IWP08'!Std10dot4Withdrawals, 7, 7, 1, 1))</f>
        <v/>
      </c>
    </row>
    <row r="976" spans="1:5">
      <c r="A976" s="160" t="s">
        <v>821</v>
      </c>
      <c r="B976" s="108">
        <f ca="1">IF(OFFSET('IWP08'!Std10dot4Withdrawals, 8, 0, 1, 1) =DATE(1900,1,0),DATE(1900,1,1),OFFSET('IWP08'!Std10dot4Withdrawals, 8, 0, 1, 1))</f>
        <v>1</v>
      </c>
      <c r="C976" s="116">
        <f ca="1">OFFSET('IWP08'!Std10dot4Withdrawals, 8, 2, 1, 1)</f>
        <v>0</v>
      </c>
      <c r="D976" s="159" t="str">
        <f ca="1">IF(OFFSET('IWP08'!Std10dot4Withdrawals, 8, 4, 1, 1) = 0, "", OFFSET('IWP08'!Std10dot4Withdrawals, 8, 4, 1, 1))</f>
        <v/>
      </c>
      <c r="E976" s="164" t="str">
        <f ca="1">IF(OFFSET('IWP08'!Std10dot4Withdrawals, 8, 7, 1, 1) = 0, "", OFFSET('IWP08'!Std10dot4Withdrawals, 8, 7, 1, 1))</f>
        <v/>
      </c>
    </row>
    <row r="977" spans="1:5">
      <c r="A977" s="160" t="s">
        <v>821</v>
      </c>
      <c r="B977" s="108">
        <f ca="1">IF(OFFSET('IWP08'!Std10dot4Withdrawals, 9, 0, 1, 1) =DATE(1900,1,0),DATE(1900,1,1),OFFSET('IWP08'!Std10dot4Withdrawals, 9, 0, 1, 1))</f>
        <v>1</v>
      </c>
      <c r="C977" s="116">
        <f ca="1">OFFSET('IWP08'!Std10dot4Withdrawals, 9, 2, 1, 1)</f>
        <v>0</v>
      </c>
      <c r="D977" s="159" t="str">
        <f ca="1">IF(OFFSET('IWP08'!Std10dot4Withdrawals, 9, 4, 1, 1) = 0, "", OFFSET('IWP08'!Std10dot4Withdrawals, 9, 4, 1, 1))</f>
        <v/>
      </c>
      <c r="E977" s="164" t="str">
        <f ca="1">IF(OFFSET('IWP08'!Std10dot4Withdrawals, 9, 7, 1, 1) = 0, "", OFFSET('IWP08'!Std10dot4Withdrawals, 9, 7, 1, 1))</f>
        <v/>
      </c>
    </row>
    <row r="978" spans="1:5">
      <c r="A978" s="160" t="s">
        <v>821</v>
      </c>
      <c r="B978" s="108">
        <f ca="1">IF(OFFSET('IWP08'!Std10dot4Withdrawals, 10, 0, 1, 1) =DATE(1900,1,0),DATE(1900,1,1),OFFSET('IWP08'!Std10dot4Withdrawals, 10, 0, 1, 1))</f>
        <v>1</v>
      </c>
      <c r="C978" s="116">
        <f ca="1">OFFSET('IWP08'!Std10dot4Withdrawals, 10, 2, 1, 1)</f>
        <v>0</v>
      </c>
      <c r="D978" s="159" t="str">
        <f ca="1">IF(OFFSET('IWP08'!Std10dot4Withdrawals, 10, 4, 1, 1) = 0, "", OFFSET('IWP08'!Std10dot4Withdrawals, 10, 4, 1, 1))</f>
        <v/>
      </c>
      <c r="E978" s="164" t="str">
        <f ca="1">IF(OFFSET('IWP08'!Std10dot4Withdrawals, 10, 7, 1, 1) = 0, "", OFFSET('IWP08'!Std10dot4Withdrawals, 10, 7, 1, 1))</f>
        <v/>
      </c>
    </row>
    <row r="979" spans="1:5">
      <c r="A979" s="160" t="s">
        <v>821</v>
      </c>
      <c r="B979" s="108">
        <f ca="1">IF(OFFSET('IWP08'!Std10dot4Withdrawals, 11, 0, 1, 1) =DATE(1900,1,0),DATE(1900,1,1),OFFSET('IWP08'!Std10dot4Withdrawals, 11, 0, 1, 1))</f>
        <v>1</v>
      </c>
      <c r="C979" s="116">
        <f ca="1">OFFSET('IWP08'!Std10dot4Withdrawals, 11, 2, 1, 1)</f>
        <v>0</v>
      </c>
      <c r="D979" s="159" t="str">
        <f ca="1">IF(OFFSET('IWP08'!Std10dot4Withdrawals, 11, 4, 1, 1) = 0, "", OFFSET('IWP08'!Std10dot4Withdrawals, 11, 4, 1, 1))</f>
        <v/>
      </c>
      <c r="E979" s="164" t="str">
        <f ca="1">IF(OFFSET('IWP08'!Std10dot4Withdrawals, 11, 7, 1, 1) = 0, "", OFFSET('IWP08'!Std10dot4Withdrawals, 11, 7, 1, 1))</f>
        <v/>
      </c>
    </row>
    <row r="980" spans="1:5">
      <c r="A980" s="160" t="s">
        <v>821</v>
      </c>
      <c r="B980" s="108">
        <f ca="1">IF(OFFSET('IWP08'!Std10dot4Withdrawals, 12, 0, 1, 1) =DATE(1900,1,0),DATE(1900,1,1),OFFSET('IWP08'!Std10dot4Withdrawals, 12, 0, 1, 1))</f>
        <v>1</v>
      </c>
      <c r="C980" s="116">
        <f ca="1">OFFSET('IWP08'!Std10dot4Withdrawals, 12, 2, 1, 1)</f>
        <v>0</v>
      </c>
      <c r="D980" s="159" t="str">
        <f ca="1">IF(OFFSET('IWP08'!Std10dot4Withdrawals, 12, 4, 1, 1) = 0, "", OFFSET('IWP08'!Std10dot4Withdrawals, 12, 4, 1, 1))</f>
        <v/>
      </c>
      <c r="E980" s="164" t="str">
        <f ca="1">IF(OFFSET('IWP08'!Std10dot4Withdrawals, 12, 7, 1, 1) = 0, "", OFFSET('IWP08'!Std10dot4Withdrawals, 12, 7, 1, 1))</f>
        <v/>
      </c>
    </row>
    <row r="981" spans="1:5">
      <c r="A981" s="160" t="s">
        <v>821</v>
      </c>
      <c r="B981" s="108">
        <f ca="1">IF(OFFSET('IWP08'!Std10dot4Withdrawals, 13, 0, 1, 1) =DATE(1900,1,0),DATE(1900,1,1),OFFSET('IWP08'!Std10dot4Withdrawals, 13, 0, 1, 1))</f>
        <v>1</v>
      </c>
      <c r="C981" s="116">
        <f ca="1">OFFSET('IWP08'!Std10dot4Withdrawals, 13, 2, 1, 1)</f>
        <v>0</v>
      </c>
      <c r="D981" s="159" t="str">
        <f ca="1">IF(OFFSET('IWP08'!Std10dot4Withdrawals, 13, 4, 1, 1) = 0, "", OFFSET('IWP08'!Std10dot4Withdrawals, 13, 4, 1, 1))</f>
        <v/>
      </c>
      <c r="E981" s="164" t="str">
        <f ca="1">IF(OFFSET('IWP08'!Std10dot4Withdrawals, 13, 7, 1, 1) = 0, "", OFFSET('IWP08'!Std10dot4Withdrawals, 13, 7, 1, 1))</f>
        <v/>
      </c>
    </row>
    <row r="982" spans="1:5">
      <c r="A982" s="160" t="s">
        <v>821</v>
      </c>
      <c r="B982" s="108">
        <f ca="1">IF(OFFSET('IWP08'!Std10dot4Withdrawals, 14, 0, 1, 1) =DATE(1900,1,0),DATE(1900,1,1),OFFSET('IWP08'!Std10dot4Withdrawals, 14, 0, 1, 1))</f>
        <v>1</v>
      </c>
      <c r="C982" s="116">
        <f ca="1">OFFSET('IWP08'!Std10dot4Withdrawals, 14, 2, 1, 1)</f>
        <v>0</v>
      </c>
      <c r="D982" s="159" t="str">
        <f ca="1">IF(OFFSET('IWP08'!Std10dot4Withdrawals, 14, 4, 1, 1) = 0, "", OFFSET('IWP08'!Std10dot4Withdrawals, 14, 4, 1, 1))</f>
        <v/>
      </c>
      <c r="E982" s="164" t="str">
        <f ca="1">IF(OFFSET('IWP08'!Std10dot4Withdrawals, 14, 7, 1, 1) = 0, "", OFFSET('IWP08'!Std10dot4Withdrawals, 14, 7, 1, 1))</f>
        <v/>
      </c>
    </row>
    <row r="983" spans="1:5">
      <c r="A983" s="160" t="s">
        <v>821</v>
      </c>
      <c r="B983" s="108">
        <f ca="1">IF(OFFSET('IWP08'!Std10dot4Withdrawals, 15, 0, 1, 1) =DATE(1900,1,0),DATE(1900,1,1),OFFSET('IWP08'!Std10dot4Withdrawals, 15, 0, 1, 1))</f>
        <v>1</v>
      </c>
      <c r="C983" s="116">
        <f ca="1">OFFSET('IWP08'!Std10dot4Withdrawals, 15, 2, 1, 1)</f>
        <v>0</v>
      </c>
      <c r="D983" s="159" t="str">
        <f ca="1">IF(OFFSET('IWP08'!Std10dot4Withdrawals, 15, 4, 1, 1) = 0, "", OFFSET('IWP08'!Std10dot4Withdrawals, 15, 4, 1, 1))</f>
        <v/>
      </c>
      <c r="E983" s="164" t="str">
        <f ca="1">IF(OFFSET('IWP08'!Std10dot4Withdrawals, 15, 7, 1, 1) = 0, "", OFFSET('IWP08'!Std10dot4Withdrawals, 15, 7, 1, 1))</f>
        <v/>
      </c>
    </row>
    <row r="984" spans="1:5">
      <c r="A984" s="160" t="s">
        <v>821</v>
      </c>
      <c r="B984" s="108">
        <f ca="1">IF(OFFSET('IWP08'!Std10dot4Withdrawals, 16, 0, 1, 1) =DATE(1900,1,0),DATE(1900,1,1),OFFSET('IWP08'!Std10dot4Withdrawals, 16, 0, 1, 1))</f>
        <v>1</v>
      </c>
      <c r="C984" s="116">
        <f ca="1">OFFSET('IWP08'!Std10dot4Withdrawals, 16, 2, 1, 1)</f>
        <v>0</v>
      </c>
      <c r="D984" s="159" t="str">
        <f ca="1">IF(OFFSET('IWP08'!Std10dot4Withdrawals, 16, 4, 1, 1) = 0, "", OFFSET('IWP08'!Std10dot4Withdrawals, 16, 4, 1, 1))</f>
        <v/>
      </c>
      <c r="E984" s="164" t="str">
        <f ca="1">IF(OFFSET('IWP08'!Std10dot4Withdrawals, 16, 7, 1, 1) = 0, "", OFFSET('IWP08'!Std10dot4Withdrawals, 16, 7, 1, 1))</f>
        <v/>
      </c>
    </row>
    <row r="985" spans="1:5">
      <c r="A985" s="160" t="s">
        <v>821</v>
      </c>
      <c r="B985" s="108">
        <f ca="1">IF(OFFSET('IWP08'!Std10dot4Withdrawals, 17, 0, 1, 1) =DATE(1900,1,0),DATE(1900,1,1),OFFSET('IWP08'!Std10dot4Withdrawals, 17, 0, 1, 1))</f>
        <v>1</v>
      </c>
      <c r="C985" s="116">
        <f ca="1">OFFSET('IWP08'!Std10dot4Withdrawals, 17, 2, 1, 1)</f>
        <v>0</v>
      </c>
      <c r="D985" s="159" t="str">
        <f ca="1">IF(OFFSET('IWP08'!Std10dot4Withdrawals, 17, 4, 1, 1) = 0, "", OFFSET('IWP08'!Std10dot4Withdrawals, 17, 4, 1, 1))</f>
        <v/>
      </c>
      <c r="E985" s="164" t="str">
        <f ca="1">IF(OFFSET('IWP08'!Std10dot4Withdrawals, 17, 7, 1, 1) = 0, "", OFFSET('IWP08'!Std10dot4Withdrawals, 17, 7, 1, 1))</f>
        <v/>
      </c>
    </row>
    <row r="986" spans="1:5">
      <c r="A986" s="160" t="s">
        <v>821</v>
      </c>
      <c r="B986" s="108">
        <f ca="1">IF(OFFSET('IWP08'!Std10dot4Withdrawals, 18, 0, 1, 1) =DATE(1900,1,0),DATE(1900,1,1),OFFSET('IWP08'!Std10dot4Withdrawals, 18, 0, 1, 1))</f>
        <v>1</v>
      </c>
      <c r="C986" s="116">
        <f ca="1">OFFSET('IWP08'!Std10dot4Withdrawals, 18, 2, 1, 1)</f>
        <v>0</v>
      </c>
      <c r="D986" s="159" t="str">
        <f ca="1">IF(OFFSET('IWP08'!Std10dot4Withdrawals, 18, 4, 1, 1) = 0, "", OFFSET('IWP08'!Std10dot4Withdrawals, 18, 4, 1, 1))</f>
        <v/>
      </c>
      <c r="E986" s="164" t="str">
        <f ca="1">IF(OFFSET('IWP08'!Std10dot4Withdrawals, 18, 7, 1, 1) = 0, "", OFFSET('IWP08'!Std10dot4Withdrawals, 18, 7, 1, 1))</f>
        <v/>
      </c>
    </row>
    <row r="987" spans="1:5" ht="15" thickBot="1">
      <c r="A987" s="161" t="s">
        <v>821</v>
      </c>
      <c r="B987" s="110">
        <f ca="1">IF(OFFSET('IWP08'!Std10dot4Withdrawals, 19, 0, 1, 1) =DATE(1900,1,0),DATE(1900,1,1),OFFSET('IWP08'!Std10dot4Withdrawals, 19, 0, 1, 1))</f>
        <v>1</v>
      </c>
      <c r="C987" s="117">
        <f ca="1">OFFSET('IWP08'!Std10dot4Withdrawals, 19, 2, 1, 1)</f>
        <v>0</v>
      </c>
      <c r="D987" s="155" t="str">
        <f ca="1">IF(OFFSET('IWP08'!Std10dot4Withdrawals, 19, 4, 1, 1) = 0, "", OFFSET('IWP08'!Std10dot4Withdrawals, 19, 4, 1, 1))</f>
        <v/>
      </c>
      <c r="E987" s="165" t="str">
        <f ca="1">IF(OFFSET('IWP08'!Std10dot4Withdrawals, 19, 7, 1, 1) = 0, "", OFFSET('IWP08'!Std10dot4Withdrawals, 19, 7, 1, 1))</f>
        <v/>
      </c>
    </row>
    <row r="989" spans="1:5" ht="15" thickBot="1">
      <c r="A989" t="s">
        <v>891</v>
      </c>
    </row>
    <row r="990" spans="1:5">
      <c r="A990" s="96" t="s">
        <v>725</v>
      </c>
      <c r="B990" s="97" t="s">
        <v>823</v>
      </c>
      <c r="C990" s="97" t="s">
        <v>151</v>
      </c>
      <c r="D990" s="98" t="s">
        <v>315</v>
      </c>
    </row>
    <row r="991" spans="1:5">
      <c r="A991" s="160" t="s">
        <v>747</v>
      </c>
      <c r="B991" s="108">
        <f ca="1">IF(OFFSET('IWP01'!Std10dot5Withdrawals, 0, 0, 1, 1) =DATE(1900,1,0),DATE(1900,1,1),OFFSET('IWP01'!Std10dot5Withdrawals, 0, 0, 1, 1))</f>
        <v>1</v>
      </c>
      <c r="C991" s="116">
        <f ca="1">OFFSET('IWP01'!Std10dot5Withdrawals, 0, 2, 1, 1)</f>
        <v>0</v>
      </c>
      <c r="D991" s="164" t="str">
        <f ca="1">IF(OFFSET('IWP01'!Std10dot5Withdrawals, 0, 4, 1, 1) = 0, "", OFFSET('IWP01'!Std10dot5Withdrawals, 0, 4, 1, 1))</f>
        <v/>
      </c>
    </row>
    <row r="992" spans="1:5">
      <c r="A992" s="160" t="s">
        <v>747</v>
      </c>
      <c r="B992" s="108">
        <f ca="1">IF(OFFSET('IWP01'!Std10dot5Withdrawals, 1, 0, 1, 1) =DATE(1900,1,0),DATE(1900,1,1),OFFSET('IWP01'!Std10dot5Withdrawals, 1, 0, 1, 1))</f>
        <v>1</v>
      </c>
      <c r="C992" s="116">
        <f ca="1">OFFSET('IWP01'!Std10dot5Withdrawals, 1, 2, 1, 1)</f>
        <v>0</v>
      </c>
      <c r="D992" s="164" t="str">
        <f ca="1">IF(OFFSET('IWP01'!Std10dot5Withdrawals, 1, 4, 1, 1) = 0, "", OFFSET('IWP01'!Std10dot5Withdrawals, 1, 4, 1, 1))</f>
        <v/>
      </c>
    </row>
    <row r="993" spans="1:4">
      <c r="A993" s="160" t="s">
        <v>747</v>
      </c>
      <c r="B993" s="108">
        <f ca="1">IF(OFFSET('IWP01'!Std10dot5Withdrawals, 2, 0, 1, 1) =DATE(1900,1,0),DATE(1900,1,1),OFFSET('IWP01'!Std10dot5Withdrawals, 2, 0, 1, 1))</f>
        <v>1</v>
      </c>
      <c r="C993" s="116">
        <f ca="1">OFFSET('IWP01'!Std10dot5Withdrawals, 2, 2, 1, 1)</f>
        <v>0</v>
      </c>
      <c r="D993" s="164" t="str">
        <f ca="1">IF(OFFSET('IWP01'!Std10dot5Withdrawals, 2, 4, 1, 1) = 0, "", OFFSET('IWP01'!Std10dot5Withdrawals, 2, 4, 1, 1))</f>
        <v/>
      </c>
    </row>
    <row r="994" spans="1:4">
      <c r="A994" s="160" t="s">
        <v>747</v>
      </c>
      <c r="B994" s="108">
        <f ca="1">IF(OFFSET('IWP01'!Std10dot5Withdrawals, 3, 0, 1, 1) =DATE(1900,1,0),DATE(1900,1,1),OFFSET('IWP01'!Std10dot5Withdrawals, 3, 0, 1, 1))</f>
        <v>1</v>
      </c>
      <c r="C994" s="116">
        <f ca="1">OFFSET('IWP01'!Std10dot5Withdrawals, 3, 2, 1, 1)</f>
        <v>0</v>
      </c>
      <c r="D994" s="164" t="str">
        <f ca="1">IF(OFFSET('IWP01'!Std10dot5Withdrawals, 3, 4, 1, 1) = 0, "", OFFSET('IWP01'!Std10dot5Withdrawals, 3, 4, 1, 1))</f>
        <v/>
      </c>
    </row>
    <row r="995" spans="1:4">
      <c r="A995" s="160" t="s">
        <v>747</v>
      </c>
      <c r="B995" s="108">
        <f ca="1">IF(OFFSET('IWP01'!Std10dot5Withdrawals, 4, 0, 1, 1) =DATE(1900,1,0),DATE(1900,1,1),OFFSET('IWP01'!Std10dot5Withdrawals, 4, 0, 1, 1))</f>
        <v>1</v>
      </c>
      <c r="C995" s="116">
        <f ca="1">OFFSET('IWP01'!Std10dot5Withdrawals, 4, 2, 1, 1)</f>
        <v>0</v>
      </c>
      <c r="D995" s="164" t="str">
        <f ca="1">IF(OFFSET('IWP01'!Std10dot5Withdrawals, 4, 4, 1, 1) = 0, "", OFFSET('IWP01'!Std10dot5Withdrawals, 4, 4, 1, 1))</f>
        <v/>
      </c>
    </row>
    <row r="996" spans="1:4">
      <c r="A996" s="160" t="s">
        <v>747</v>
      </c>
      <c r="B996" s="108">
        <f ca="1">IF(OFFSET('IWP01'!Std10dot5Withdrawals, 5, 0, 1, 1) =DATE(1900,1,0),DATE(1900,1,1),OFFSET('IWP01'!Std10dot5Withdrawals, 5, 0, 1, 1))</f>
        <v>1</v>
      </c>
      <c r="C996" s="116">
        <f ca="1">OFFSET('IWP01'!Std10dot5Withdrawals, 5, 2, 1, 1)</f>
        <v>0</v>
      </c>
      <c r="D996" s="164" t="str">
        <f ca="1">IF(OFFSET('IWP01'!Std10dot5Withdrawals, 5, 4, 1, 1) = 0, "", OFFSET('IWP01'!Std10dot5Withdrawals, 5, 4, 1, 1))</f>
        <v/>
      </c>
    </row>
    <row r="997" spans="1:4">
      <c r="A997" s="160" t="s">
        <v>747</v>
      </c>
      <c r="B997" s="108">
        <f ca="1">IF(OFFSET('IWP01'!Std10dot5Withdrawals, 6, 0, 1, 1) =DATE(1900,1,0),DATE(1900,1,1),OFFSET('IWP01'!Std10dot5Withdrawals, 6, 0, 1, 1))</f>
        <v>1</v>
      </c>
      <c r="C997" s="116">
        <f ca="1">OFFSET('IWP01'!Std10dot5Withdrawals, 6, 2, 1, 1)</f>
        <v>0</v>
      </c>
      <c r="D997" s="164" t="str">
        <f ca="1">IF(OFFSET('IWP01'!Std10dot5Withdrawals, 6, 4, 1, 1) = 0, "", OFFSET('IWP01'!Std10dot5Withdrawals, 6, 4, 1, 1))</f>
        <v/>
      </c>
    </row>
    <row r="998" spans="1:4">
      <c r="A998" s="160" t="s">
        <v>747</v>
      </c>
      <c r="B998" s="108">
        <f ca="1">IF(OFFSET('IWP01'!Std10dot5Withdrawals, 7, 0, 1, 1) =DATE(1900,1,0),DATE(1900,1,1),OFFSET('IWP01'!Std10dot5Withdrawals, 7, 0, 1, 1))</f>
        <v>1</v>
      </c>
      <c r="C998" s="116">
        <f ca="1">OFFSET('IWP01'!Std10dot5Withdrawals, 7, 2, 1, 1)</f>
        <v>0</v>
      </c>
      <c r="D998" s="164" t="str">
        <f ca="1">IF(OFFSET('IWP01'!Std10dot5Withdrawals, 7, 4, 1, 1) = 0, "", OFFSET('IWP01'!Std10dot5Withdrawals, 7, 4, 1, 1))</f>
        <v/>
      </c>
    </row>
    <row r="999" spans="1:4">
      <c r="A999" s="160" t="s">
        <v>747</v>
      </c>
      <c r="B999" s="108">
        <f ca="1">IF(OFFSET('IWP01'!Std10dot5Withdrawals, 8, 0, 1, 1) =DATE(1900,1,0),DATE(1900,1,1),OFFSET('IWP01'!Std10dot5Withdrawals, 8, 0, 1, 1))</f>
        <v>1</v>
      </c>
      <c r="C999" s="116">
        <f ca="1">OFFSET('IWP01'!Std10dot5Withdrawals, 8, 2, 1, 1)</f>
        <v>0</v>
      </c>
      <c r="D999" s="164" t="str">
        <f ca="1">IF(OFFSET('IWP01'!Std10dot5Withdrawals, 8, 4, 1, 1) = 0, "", OFFSET('IWP01'!Std10dot5Withdrawals, 8, 4, 1, 1))</f>
        <v/>
      </c>
    </row>
    <row r="1000" spans="1:4">
      <c r="A1000" s="160" t="s">
        <v>747</v>
      </c>
      <c r="B1000" s="108">
        <f ca="1">IF(OFFSET('IWP01'!Std10dot5Withdrawals, 9, 0, 1, 1) =DATE(1900,1,0),DATE(1900,1,1),OFFSET('IWP01'!Std10dot5Withdrawals, 9, 0, 1, 1))</f>
        <v>1</v>
      </c>
      <c r="C1000" s="116">
        <f ca="1">OFFSET('IWP01'!Std10dot5Withdrawals, 9, 2, 1, 1)</f>
        <v>0</v>
      </c>
      <c r="D1000" s="164" t="str">
        <f ca="1">IF(OFFSET('IWP01'!Std10dot5Withdrawals, 9, 4, 1, 1) = 0, "", OFFSET('IWP01'!Std10dot5Withdrawals, 9, 4, 1, 1))</f>
        <v/>
      </c>
    </row>
    <row r="1001" spans="1:4">
      <c r="A1001" s="160" t="s">
        <v>748</v>
      </c>
      <c r="B1001" s="108">
        <f ca="1">IF(OFFSET('IWP02'!Std10dot5Withdrawals, 0, 0, 1, 1) =DATE(1900,1,0),DATE(1900,1,1),OFFSET('IWP02'!Std10dot5Withdrawals, 0, 0, 1, 1))</f>
        <v>1</v>
      </c>
      <c r="C1001" s="116">
        <f ca="1">OFFSET('IWP02'!Std10dot5Withdrawals, 0, 2, 1, 1)</f>
        <v>0</v>
      </c>
      <c r="D1001" s="164" t="str">
        <f ca="1">IF(OFFSET('IWP02'!Std10dot5Withdrawals, 0, 4, 1, 1) = 0, "", OFFSET('IWP02'!Std10dot5Withdrawals, 0, 4, 1, 1))</f>
        <v/>
      </c>
    </row>
    <row r="1002" spans="1:4">
      <c r="A1002" s="160" t="s">
        <v>748</v>
      </c>
      <c r="B1002" s="108">
        <f ca="1">IF(OFFSET('IWP02'!Std10dot5Withdrawals, 1, 0, 1, 1) =DATE(1900,1,0),DATE(1900,1,1),OFFSET('IWP02'!Std10dot5Withdrawals, 1, 0, 1, 1))</f>
        <v>1</v>
      </c>
      <c r="C1002" s="116">
        <f ca="1">OFFSET('IWP02'!Std10dot5Withdrawals, 1, 2, 1, 1)</f>
        <v>0</v>
      </c>
      <c r="D1002" s="164" t="str">
        <f ca="1">IF(OFFSET('IWP02'!Std10dot5Withdrawals, 1, 4, 1, 1) = 0, "", OFFSET('IWP02'!Std10dot5Withdrawals, 1, 4, 1, 1))</f>
        <v/>
      </c>
    </row>
    <row r="1003" spans="1:4">
      <c r="A1003" s="160" t="s">
        <v>748</v>
      </c>
      <c r="B1003" s="108">
        <f ca="1">IF(OFFSET('IWP02'!Std10dot5Withdrawals, 2, 0, 1, 1) =DATE(1900,1,0),DATE(1900,1,1),OFFSET('IWP02'!Std10dot5Withdrawals, 2, 0, 1, 1))</f>
        <v>1</v>
      </c>
      <c r="C1003" s="116">
        <f ca="1">OFFSET('IWP02'!Std10dot5Withdrawals, 2, 2, 1, 1)</f>
        <v>0</v>
      </c>
      <c r="D1003" s="164" t="str">
        <f ca="1">IF(OFFSET('IWP02'!Std10dot5Withdrawals, 2, 4, 1, 1) = 0, "", OFFSET('IWP02'!Std10dot5Withdrawals, 2, 4, 1, 1))</f>
        <v/>
      </c>
    </row>
    <row r="1004" spans="1:4">
      <c r="A1004" s="160" t="s">
        <v>748</v>
      </c>
      <c r="B1004" s="108">
        <f ca="1">IF(OFFSET('IWP02'!Std10dot5Withdrawals, 3, 0, 1, 1) =DATE(1900,1,0),DATE(1900,1,1),OFFSET('IWP02'!Std10dot5Withdrawals, 3, 0, 1, 1))</f>
        <v>1</v>
      </c>
      <c r="C1004" s="116">
        <f ca="1">OFFSET('IWP02'!Std10dot5Withdrawals, 3, 2, 1, 1)</f>
        <v>0</v>
      </c>
      <c r="D1004" s="164" t="str">
        <f ca="1">IF(OFFSET('IWP02'!Std10dot5Withdrawals, 3, 4, 1, 1) = 0, "", OFFSET('IWP02'!Std10dot5Withdrawals, 3, 4, 1, 1))</f>
        <v/>
      </c>
    </row>
    <row r="1005" spans="1:4">
      <c r="A1005" s="160" t="s">
        <v>748</v>
      </c>
      <c r="B1005" s="108">
        <f ca="1">IF(OFFSET('IWP02'!Std10dot5Withdrawals, 4, 0, 1, 1) =DATE(1900,1,0),DATE(1900,1,1),OFFSET('IWP02'!Std10dot5Withdrawals, 4, 0, 1, 1))</f>
        <v>1</v>
      </c>
      <c r="C1005" s="116">
        <f ca="1">OFFSET('IWP02'!Std10dot5Withdrawals, 4, 2, 1, 1)</f>
        <v>0</v>
      </c>
      <c r="D1005" s="164" t="str">
        <f ca="1">IF(OFFSET('IWP02'!Std10dot5Withdrawals, 4, 4, 1, 1) = 0, "", OFFSET('IWP02'!Std10dot5Withdrawals, 4, 4, 1, 1))</f>
        <v/>
      </c>
    </row>
    <row r="1006" spans="1:4">
      <c r="A1006" s="160" t="s">
        <v>748</v>
      </c>
      <c r="B1006" s="108">
        <f ca="1">IF(OFFSET('IWP02'!Std10dot5Withdrawals, 5, 0, 1, 1) =DATE(1900,1,0),DATE(1900,1,1),OFFSET('IWP02'!Std10dot5Withdrawals, 5, 0, 1, 1))</f>
        <v>1</v>
      </c>
      <c r="C1006" s="116">
        <f ca="1">OFFSET('IWP02'!Std10dot5Withdrawals, 5, 2, 1, 1)</f>
        <v>0</v>
      </c>
      <c r="D1006" s="164" t="str">
        <f ca="1">IF(OFFSET('IWP02'!Std10dot5Withdrawals, 5, 4, 1, 1) = 0, "", OFFSET('IWP02'!Std10dot5Withdrawals, 5, 4, 1, 1))</f>
        <v/>
      </c>
    </row>
    <row r="1007" spans="1:4">
      <c r="A1007" s="160" t="s">
        <v>748</v>
      </c>
      <c r="B1007" s="108">
        <f ca="1">IF(OFFSET('IWP02'!Std10dot5Withdrawals, 6, 0, 1, 1) =DATE(1900,1,0),DATE(1900,1,1),OFFSET('IWP02'!Std10dot5Withdrawals, 6, 0, 1, 1))</f>
        <v>1</v>
      </c>
      <c r="C1007" s="116">
        <f ca="1">OFFSET('IWP02'!Std10dot5Withdrawals, 6, 2, 1, 1)</f>
        <v>0</v>
      </c>
      <c r="D1007" s="164" t="str">
        <f ca="1">IF(OFFSET('IWP02'!Std10dot5Withdrawals, 6, 4, 1, 1) = 0, "", OFFSET('IWP02'!Std10dot5Withdrawals, 6, 4, 1, 1))</f>
        <v/>
      </c>
    </row>
    <row r="1008" spans="1:4">
      <c r="A1008" s="160" t="s">
        <v>748</v>
      </c>
      <c r="B1008" s="108">
        <f ca="1">IF(OFFSET('IWP02'!Std10dot5Withdrawals, 7, 0, 1, 1) =DATE(1900,1,0),DATE(1900,1,1),OFFSET('IWP02'!Std10dot5Withdrawals, 7, 0, 1, 1))</f>
        <v>1</v>
      </c>
      <c r="C1008" s="116">
        <f ca="1">OFFSET('IWP02'!Std10dot5Withdrawals, 7, 2, 1, 1)</f>
        <v>0</v>
      </c>
      <c r="D1008" s="164" t="str">
        <f ca="1">IF(OFFSET('IWP02'!Std10dot5Withdrawals, 7, 4, 1, 1) = 0, "", OFFSET('IWP02'!Std10dot5Withdrawals, 7, 4, 1, 1))</f>
        <v/>
      </c>
    </row>
    <row r="1009" spans="1:4">
      <c r="A1009" s="160" t="s">
        <v>748</v>
      </c>
      <c r="B1009" s="108">
        <f ca="1">IF(OFFSET('IWP02'!Std10dot5Withdrawals, 8, 0, 1, 1) =DATE(1900,1,0),DATE(1900,1,1),OFFSET('IWP02'!Std10dot5Withdrawals, 8, 0, 1, 1))</f>
        <v>1</v>
      </c>
      <c r="C1009" s="116">
        <f ca="1">OFFSET('IWP02'!Std10dot5Withdrawals, 8, 2, 1, 1)</f>
        <v>0</v>
      </c>
      <c r="D1009" s="164" t="str">
        <f ca="1">IF(OFFSET('IWP02'!Std10dot5Withdrawals, 8, 4, 1, 1) = 0, "", OFFSET('IWP02'!Std10dot5Withdrawals, 8, 4, 1, 1))</f>
        <v/>
      </c>
    </row>
    <row r="1010" spans="1:4">
      <c r="A1010" s="160" t="s">
        <v>748</v>
      </c>
      <c r="B1010" s="108">
        <f ca="1">IF(OFFSET('IWP02'!Std10dot5Withdrawals, 9, 0, 1, 1) =DATE(1900,1,0),DATE(1900,1,1),OFFSET('IWP02'!Std10dot5Withdrawals, 9, 0, 1, 1))</f>
        <v>1</v>
      </c>
      <c r="C1010" s="116">
        <f ca="1">OFFSET('IWP02'!Std10dot5Withdrawals, 9, 2, 1, 1)</f>
        <v>0</v>
      </c>
      <c r="D1010" s="164" t="str">
        <f ca="1">IF(OFFSET('IWP02'!Std10dot5Withdrawals, 9, 4, 1, 1) = 0, "", OFFSET('IWP02'!Std10dot5Withdrawals, 9, 4, 1, 1))</f>
        <v/>
      </c>
    </row>
    <row r="1011" spans="1:4">
      <c r="A1011" s="160" t="s">
        <v>749</v>
      </c>
      <c r="B1011" s="108">
        <f ca="1">IF(OFFSET('IWP03'!Std10dot5Withdrawals, 0, 0, 1, 1) =DATE(1900,1,0),DATE(1900,1,1),OFFSET('IWP03'!Std10dot5Withdrawals, 0, 0, 1, 1))</f>
        <v>1</v>
      </c>
      <c r="C1011" s="116">
        <f ca="1">OFFSET('IWP03'!Std10dot5Withdrawals, 0, 2, 1, 1)</f>
        <v>0</v>
      </c>
      <c r="D1011" s="164" t="str">
        <f ca="1">IF(OFFSET('IWP03'!Std10dot5Withdrawals, 0, 4, 1, 1) = 0, "", OFFSET('IWP03'!Std10dot5Withdrawals, 0, 4, 1, 1))</f>
        <v/>
      </c>
    </row>
    <row r="1012" spans="1:4">
      <c r="A1012" s="160" t="s">
        <v>749</v>
      </c>
      <c r="B1012" s="108">
        <f ca="1">IF(OFFSET('IWP03'!Std10dot5Withdrawals, 1, 0, 1, 1) =DATE(1900,1,0),DATE(1900,1,1),OFFSET('IWP03'!Std10dot5Withdrawals, 1, 0, 1, 1))</f>
        <v>1</v>
      </c>
      <c r="C1012" s="116">
        <f ca="1">OFFSET('IWP03'!Std10dot5Withdrawals, 1, 2, 1, 1)</f>
        <v>0</v>
      </c>
      <c r="D1012" s="164" t="str">
        <f ca="1">IF(OFFSET('IWP03'!Std10dot5Withdrawals, 1, 4, 1, 1) = 0, "", OFFSET('IWP03'!Std10dot5Withdrawals, 1, 4, 1, 1))</f>
        <v/>
      </c>
    </row>
    <row r="1013" spans="1:4">
      <c r="A1013" s="160" t="s">
        <v>749</v>
      </c>
      <c r="B1013" s="108">
        <f ca="1">IF(OFFSET('IWP03'!Std10dot5Withdrawals, 2, 0, 1, 1) =DATE(1900,1,0),DATE(1900,1,1),OFFSET('IWP03'!Std10dot5Withdrawals, 2, 0, 1, 1))</f>
        <v>1</v>
      </c>
      <c r="C1013" s="116">
        <f ca="1">OFFSET('IWP03'!Std10dot5Withdrawals, 2, 2, 1, 1)</f>
        <v>0</v>
      </c>
      <c r="D1013" s="164" t="str">
        <f ca="1">IF(OFFSET('IWP03'!Std10dot5Withdrawals, 2, 4, 1, 1) = 0, "", OFFSET('IWP03'!Std10dot5Withdrawals, 2, 4, 1, 1))</f>
        <v/>
      </c>
    </row>
    <row r="1014" spans="1:4">
      <c r="A1014" s="160" t="s">
        <v>749</v>
      </c>
      <c r="B1014" s="108">
        <f ca="1">IF(OFFSET('IWP03'!Std10dot5Withdrawals, 3, 0, 1, 1) =DATE(1900,1,0),DATE(1900,1,1),OFFSET('IWP03'!Std10dot5Withdrawals, 3, 0, 1, 1))</f>
        <v>1</v>
      </c>
      <c r="C1014" s="116">
        <f ca="1">OFFSET('IWP03'!Std10dot5Withdrawals, 3, 2, 1, 1)</f>
        <v>0</v>
      </c>
      <c r="D1014" s="164" t="str">
        <f ca="1">IF(OFFSET('IWP03'!Std10dot5Withdrawals, 3, 4, 1, 1) = 0, "", OFFSET('IWP03'!Std10dot5Withdrawals, 3, 4, 1, 1))</f>
        <v/>
      </c>
    </row>
    <row r="1015" spans="1:4">
      <c r="A1015" s="160" t="s">
        <v>749</v>
      </c>
      <c r="B1015" s="108">
        <f ca="1">IF(OFFSET('IWP03'!Std10dot5Withdrawals, 4, 0, 1, 1) =DATE(1900,1,0),DATE(1900,1,1),OFFSET('IWP03'!Std10dot5Withdrawals, 4, 0, 1, 1))</f>
        <v>1</v>
      </c>
      <c r="C1015" s="116">
        <f ca="1">OFFSET('IWP03'!Std10dot5Withdrawals, 4, 2, 1, 1)</f>
        <v>0</v>
      </c>
      <c r="D1015" s="164" t="str">
        <f ca="1">IF(OFFSET('IWP03'!Std10dot5Withdrawals, 4, 4, 1, 1) = 0, "", OFFSET('IWP03'!Std10dot5Withdrawals, 4, 4, 1, 1))</f>
        <v/>
      </c>
    </row>
    <row r="1016" spans="1:4">
      <c r="A1016" s="160" t="s">
        <v>749</v>
      </c>
      <c r="B1016" s="108">
        <f ca="1">IF(OFFSET('IWP03'!Std10dot5Withdrawals, 5, 0, 1, 1) =DATE(1900,1,0),DATE(1900,1,1),OFFSET('IWP03'!Std10dot5Withdrawals, 5, 0, 1, 1))</f>
        <v>1</v>
      </c>
      <c r="C1016" s="116">
        <f ca="1">OFFSET('IWP03'!Std10dot5Withdrawals, 5, 2, 1, 1)</f>
        <v>0</v>
      </c>
      <c r="D1016" s="164" t="str">
        <f ca="1">IF(OFFSET('IWP03'!Std10dot5Withdrawals, 5, 4, 1, 1) = 0, "", OFFSET('IWP03'!Std10dot5Withdrawals, 5, 4, 1, 1))</f>
        <v/>
      </c>
    </row>
    <row r="1017" spans="1:4">
      <c r="A1017" s="160" t="s">
        <v>749</v>
      </c>
      <c r="B1017" s="108">
        <f ca="1">IF(OFFSET('IWP03'!Std10dot5Withdrawals, 6, 0, 1, 1) =DATE(1900,1,0),DATE(1900,1,1),OFFSET('IWP03'!Std10dot5Withdrawals, 6, 0, 1, 1))</f>
        <v>1</v>
      </c>
      <c r="C1017" s="116">
        <f ca="1">OFFSET('IWP03'!Std10dot5Withdrawals, 6, 2, 1, 1)</f>
        <v>0</v>
      </c>
      <c r="D1017" s="164" t="str">
        <f ca="1">IF(OFFSET('IWP03'!Std10dot5Withdrawals, 6, 4, 1, 1) = 0, "", OFFSET('IWP03'!Std10dot5Withdrawals, 6, 4, 1, 1))</f>
        <v/>
      </c>
    </row>
    <row r="1018" spans="1:4">
      <c r="A1018" s="160" t="s">
        <v>749</v>
      </c>
      <c r="B1018" s="108">
        <f ca="1">IF(OFFSET('IWP03'!Std10dot5Withdrawals, 7, 0, 1, 1) =DATE(1900,1,0),DATE(1900,1,1),OFFSET('IWP03'!Std10dot5Withdrawals, 7, 0, 1, 1))</f>
        <v>1</v>
      </c>
      <c r="C1018" s="116">
        <f ca="1">OFFSET('IWP03'!Std10dot5Withdrawals, 7, 2, 1, 1)</f>
        <v>0</v>
      </c>
      <c r="D1018" s="164" t="str">
        <f ca="1">IF(OFFSET('IWP03'!Std10dot5Withdrawals, 7, 4, 1, 1) = 0, "", OFFSET('IWP03'!Std10dot5Withdrawals, 7, 4, 1, 1))</f>
        <v/>
      </c>
    </row>
    <row r="1019" spans="1:4">
      <c r="A1019" s="160" t="s">
        <v>749</v>
      </c>
      <c r="B1019" s="108">
        <f ca="1">IF(OFFSET('IWP03'!Std10dot5Withdrawals, 8, 0, 1, 1) =DATE(1900,1,0),DATE(1900,1,1),OFFSET('IWP03'!Std10dot5Withdrawals, 8, 0, 1, 1))</f>
        <v>1</v>
      </c>
      <c r="C1019" s="116">
        <f ca="1">OFFSET('IWP03'!Std10dot5Withdrawals, 8, 2, 1, 1)</f>
        <v>0</v>
      </c>
      <c r="D1019" s="164" t="str">
        <f ca="1">IF(OFFSET('IWP03'!Std10dot5Withdrawals, 8, 4, 1, 1) = 0, "", OFFSET('IWP03'!Std10dot5Withdrawals, 8, 4, 1, 1))</f>
        <v/>
      </c>
    </row>
    <row r="1020" spans="1:4">
      <c r="A1020" s="160" t="s">
        <v>749</v>
      </c>
      <c r="B1020" s="108">
        <f ca="1">IF(OFFSET('IWP03'!Std10dot5Withdrawals, 9, 0, 1, 1) =DATE(1900,1,0),DATE(1900,1,1),OFFSET('IWP03'!Std10dot5Withdrawals, 9, 0, 1, 1))</f>
        <v>1</v>
      </c>
      <c r="C1020" s="116">
        <f ca="1">OFFSET('IWP03'!Std10dot5Withdrawals, 9, 2, 1, 1)</f>
        <v>0</v>
      </c>
      <c r="D1020" s="164" t="str">
        <f ca="1">IF(OFFSET('IWP03'!Std10dot5Withdrawals, 9, 4, 1, 1) = 0, "", OFFSET('IWP03'!Std10dot5Withdrawals, 9, 4, 1, 1))</f>
        <v/>
      </c>
    </row>
    <row r="1021" spans="1:4">
      <c r="A1021" s="160" t="s">
        <v>817</v>
      </c>
      <c r="B1021" s="108">
        <f ca="1">IF(OFFSET('IWP04'!Std10dot5Withdrawals, 0, 0, 1, 1) =DATE(1900,1,0),DATE(1900,1,1),OFFSET('IWP04'!Std10dot5Withdrawals, 0, 0, 1, 1))</f>
        <v>1</v>
      </c>
      <c r="C1021" s="116">
        <f ca="1">OFFSET('IWP04'!Std10dot5Withdrawals, 0, 2, 1, 1)</f>
        <v>0</v>
      </c>
      <c r="D1021" s="164" t="str">
        <f ca="1">IF(OFFSET('IWP04'!Std10dot5Withdrawals, 0, 4, 1, 1) = 0, "", OFFSET('IWP04'!Std10dot5Withdrawals, 0, 4, 1, 1))</f>
        <v/>
      </c>
    </row>
    <row r="1022" spans="1:4">
      <c r="A1022" s="160" t="s">
        <v>817</v>
      </c>
      <c r="B1022" s="108">
        <f ca="1">IF(OFFSET('IWP04'!Std10dot5Withdrawals, 1, 0, 1, 1) =DATE(1900,1,0),DATE(1900,1,1),OFFSET('IWP04'!Std10dot5Withdrawals, 1, 0, 1, 1))</f>
        <v>1</v>
      </c>
      <c r="C1022" s="116">
        <f ca="1">OFFSET('IWP04'!Std10dot5Withdrawals, 1, 2, 1, 1)</f>
        <v>0</v>
      </c>
      <c r="D1022" s="164" t="str">
        <f ca="1">IF(OFFSET('IWP04'!Std10dot5Withdrawals, 1, 4, 1, 1) = 0, "", OFFSET('IWP04'!Std10dot5Withdrawals, 1, 4, 1, 1))</f>
        <v/>
      </c>
    </row>
    <row r="1023" spans="1:4">
      <c r="A1023" s="160" t="s">
        <v>817</v>
      </c>
      <c r="B1023" s="108">
        <f ca="1">IF(OFFSET('IWP04'!Std10dot5Withdrawals, 2, 0, 1, 1) =DATE(1900,1,0),DATE(1900,1,1),OFFSET('IWP04'!Std10dot5Withdrawals, 2, 0, 1, 1))</f>
        <v>1</v>
      </c>
      <c r="C1023" s="116">
        <f ca="1">OFFSET('IWP04'!Std10dot5Withdrawals, 2, 2, 1, 1)</f>
        <v>0</v>
      </c>
      <c r="D1023" s="164" t="str">
        <f ca="1">IF(OFFSET('IWP04'!Std10dot5Withdrawals, 2, 4, 1, 1) = 0, "", OFFSET('IWP04'!Std10dot5Withdrawals, 2, 4, 1, 1))</f>
        <v/>
      </c>
    </row>
    <row r="1024" spans="1:4">
      <c r="A1024" s="160" t="s">
        <v>817</v>
      </c>
      <c r="B1024" s="108">
        <f ca="1">IF(OFFSET('IWP04'!Std10dot5Withdrawals, 3, 0, 1, 1) =DATE(1900,1,0),DATE(1900,1,1),OFFSET('IWP04'!Std10dot5Withdrawals, 3, 0, 1, 1))</f>
        <v>1</v>
      </c>
      <c r="C1024" s="116">
        <f ca="1">OFFSET('IWP04'!Std10dot5Withdrawals, 3, 2, 1, 1)</f>
        <v>0</v>
      </c>
      <c r="D1024" s="164" t="str">
        <f ca="1">IF(OFFSET('IWP04'!Std10dot5Withdrawals, 3, 4, 1, 1) = 0, "", OFFSET('IWP04'!Std10dot5Withdrawals, 3, 4, 1, 1))</f>
        <v/>
      </c>
    </row>
    <row r="1025" spans="1:4">
      <c r="A1025" s="160" t="s">
        <v>817</v>
      </c>
      <c r="B1025" s="108">
        <f ca="1">IF(OFFSET('IWP04'!Std10dot5Withdrawals, 4, 0, 1, 1) =DATE(1900,1,0),DATE(1900,1,1),OFFSET('IWP04'!Std10dot5Withdrawals, 4, 0, 1, 1))</f>
        <v>1</v>
      </c>
      <c r="C1025" s="116">
        <f ca="1">OFFSET('IWP04'!Std10dot5Withdrawals, 4, 2, 1, 1)</f>
        <v>0</v>
      </c>
      <c r="D1025" s="164" t="str">
        <f ca="1">IF(OFFSET('IWP04'!Std10dot5Withdrawals, 4, 4, 1, 1) = 0, "", OFFSET('IWP04'!Std10dot5Withdrawals, 4, 4, 1, 1))</f>
        <v/>
      </c>
    </row>
    <row r="1026" spans="1:4">
      <c r="A1026" s="160" t="s">
        <v>817</v>
      </c>
      <c r="B1026" s="108">
        <f ca="1">IF(OFFSET('IWP04'!Std10dot5Withdrawals, 5, 0, 1, 1) =DATE(1900,1,0),DATE(1900,1,1),OFFSET('IWP04'!Std10dot5Withdrawals, 5, 0, 1, 1))</f>
        <v>1</v>
      </c>
      <c r="C1026" s="116">
        <f ca="1">OFFSET('IWP04'!Std10dot5Withdrawals, 5, 2, 1, 1)</f>
        <v>0</v>
      </c>
      <c r="D1026" s="164" t="str">
        <f ca="1">IF(OFFSET('IWP04'!Std10dot5Withdrawals, 5, 4, 1, 1) = 0, "", OFFSET('IWP04'!Std10dot5Withdrawals, 5, 4, 1, 1))</f>
        <v/>
      </c>
    </row>
    <row r="1027" spans="1:4">
      <c r="A1027" s="160" t="s">
        <v>817</v>
      </c>
      <c r="B1027" s="108">
        <f ca="1">IF(OFFSET('IWP04'!Std10dot5Withdrawals, 6, 0, 1, 1) =DATE(1900,1,0),DATE(1900,1,1),OFFSET('IWP04'!Std10dot5Withdrawals, 6, 0, 1, 1))</f>
        <v>1</v>
      </c>
      <c r="C1027" s="116">
        <f ca="1">OFFSET('IWP04'!Std10dot5Withdrawals, 6, 2, 1, 1)</f>
        <v>0</v>
      </c>
      <c r="D1027" s="164" t="str">
        <f ca="1">IF(OFFSET('IWP04'!Std10dot5Withdrawals, 6, 4, 1, 1) = 0, "", OFFSET('IWP04'!Std10dot5Withdrawals, 6, 4, 1, 1))</f>
        <v/>
      </c>
    </row>
    <row r="1028" spans="1:4">
      <c r="A1028" s="160" t="s">
        <v>817</v>
      </c>
      <c r="B1028" s="108">
        <f ca="1">IF(OFFSET('IWP04'!Std10dot5Withdrawals, 7, 0, 1, 1) =DATE(1900,1,0),DATE(1900,1,1),OFFSET('IWP04'!Std10dot5Withdrawals, 7, 0, 1, 1))</f>
        <v>1</v>
      </c>
      <c r="C1028" s="116">
        <f ca="1">OFFSET('IWP04'!Std10dot5Withdrawals, 7, 2, 1, 1)</f>
        <v>0</v>
      </c>
      <c r="D1028" s="164" t="str">
        <f ca="1">IF(OFFSET('IWP04'!Std10dot5Withdrawals, 7, 4, 1, 1) = 0, "", OFFSET('IWP04'!Std10dot5Withdrawals, 7, 4, 1, 1))</f>
        <v/>
      </c>
    </row>
    <row r="1029" spans="1:4">
      <c r="A1029" s="160" t="s">
        <v>817</v>
      </c>
      <c r="B1029" s="108">
        <f ca="1">IF(OFFSET('IWP04'!Std10dot5Withdrawals, 8, 0, 1, 1) =DATE(1900,1,0),DATE(1900,1,1),OFFSET('IWP04'!Std10dot5Withdrawals, 8, 0, 1, 1))</f>
        <v>1</v>
      </c>
      <c r="C1029" s="116">
        <f ca="1">OFFSET('IWP04'!Std10dot5Withdrawals, 8, 2, 1, 1)</f>
        <v>0</v>
      </c>
      <c r="D1029" s="164" t="str">
        <f ca="1">IF(OFFSET('IWP04'!Std10dot5Withdrawals, 8, 4, 1, 1) = 0, "", OFFSET('IWP04'!Std10dot5Withdrawals, 8, 4, 1, 1))</f>
        <v/>
      </c>
    </row>
    <row r="1030" spans="1:4">
      <c r="A1030" s="160" t="s">
        <v>817</v>
      </c>
      <c r="B1030" s="108">
        <f ca="1">IF(OFFSET('IWP04'!Std10dot5Withdrawals, 9, 0, 1, 1) =DATE(1900,1,0),DATE(1900,1,1),OFFSET('IWP04'!Std10dot5Withdrawals, 9, 0, 1, 1))</f>
        <v>1</v>
      </c>
      <c r="C1030" s="116">
        <f ca="1">OFFSET('IWP04'!Std10dot5Withdrawals, 9, 2, 1, 1)</f>
        <v>0</v>
      </c>
      <c r="D1030" s="164" t="str">
        <f ca="1">IF(OFFSET('IWP04'!Std10dot5Withdrawals, 9, 4, 1, 1) = 0, "", OFFSET('IWP04'!Std10dot5Withdrawals, 9, 4, 1, 1))</f>
        <v/>
      </c>
    </row>
    <row r="1031" spans="1:4">
      <c r="A1031" s="160" t="s">
        <v>818</v>
      </c>
      <c r="B1031" s="108">
        <f ca="1">IF(OFFSET('IWP05'!Std10dot5Withdrawals, 0, 0, 1, 1) =DATE(1900,1,0),DATE(1900,1,1),OFFSET('IWP05'!Std10dot5Withdrawals, 0, 0, 1, 1))</f>
        <v>1</v>
      </c>
      <c r="C1031" s="116">
        <f ca="1">OFFSET('IWP05'!Std10dot5Withdrawals, 0, 2, 1, 1)</f>
        <v>0</v>
      </c>
      <c r="D1031" s="164" t="str">
        <f ca="1">IF(OFFSET('IWP05'!Std10dot5Withdrawals, 0, 4, 1, 1) = 0, "", OFFSET('IWP05'!Std10dot5Withdrawals, 0, 4, 1, 1))</f>
        <v/>
      </c>
    </row>
    <row r="1032" spans="1:4">
      <c r="A1032" s="160" t="s">
        <v>818</v>
      </c>
      <c r="B1032" s="108">
        <f ca="1">IF(OFFSET('IWP05'!Std10dot5Withdrawals, 1, 0, 1, 1) =DATE(1900,1,0),DATE(1900,1,1),OFFSET('IWP05'!Std10dot5Withdrawals, 1, 0, 1, 1))</f>
        <v>1</v>
      </c>
      <c r="C1032" s="116">
        <f ca="1">OFFSET('IWP05'!Std10dot5Withdrawals, 1, 2, 1, 1)</f>
        <v>0</v>
      </c>
      <c r="D1032" s="164" t="str">
        <f ca="1">IF(OFFSET('IWP05'!Std10dot5Withdrawals, 1, 4, 1, 1) = 0, "", OFFSET('IWP05'!Std10dot5Withdrawals, 1, 4, 1, 1))</f>
        <v/>
      </c>
    </row>
    <row r="1033" spans="1:4">
      <c r="A1033" s="160" t="s">
        <v>818</v>
      </c>
      <c r="B1033" s="108">
        <f ca="1">IF(OFFSET('IWP05'!Std10dot5Withdrawals, 2, 0, 1, 1) =DATE(1900,1,0),DATE(1900,1,1),OFFSET('IWP05'!Std10dot5Withdrawals, 2, 0, 1, 1))</f>
        <v>1</v>
      </c>
      <c r="C1033" s="116">
        <f ca="1">OFFSET('IWP05'!Std10dot5Withdrawals, 2, 2, 1, 1)</f>
        <v>0</v>
      </c>
      <c r="D1033" s="164" t="str">
        <f ca="1">IF(OFFSET('IWP05'!Std10dot5Withdrawals, 2, 4, 1, 1) = 0, "", OFFSET('IWP05'!Std10dot5Withdrawals, 2, 4, 1, 1))</f>
        <v/>
      </c>
    </row>
    <row r="1034" spans="1:4">
      <c r="A1034" s="160" t="s">
        <v>818</v>
      </c>
      <c r="B1034" s="108">
        <f ca="1">IF(OFFSET('IWP05'!Std10dot5Withdrawals, 3, 0, 1, 1) =DATE(1900,1,0),DATE(1900,1,1),OFFSET('IWP05'!Std10dot5Withdrawals, 3, 0, 1, 1))</f>
        <v>1</v>
      </c>
      <c r="C1034" s="116">
        <f ca="1">OFFSET('IWP05'!Std10dot5Withdrawals, 3, 2, 1, 1)</f>
        <v>0</v>
      </c>
      <c r="D1034" s="164" t="str">
        <f ca="1">IF(OFFSET('IWP05'!Std10dot5Withdrawals, 3, 4, 1, 1) = 0, "", OFFSET('IWP05'!Std10dot5Withdrawals, 3, 4, 1, 1))</f>
        <v/>
      </c>
    </row>
    <row r="1035" spans="1:4">
      <c r="A1035" s="160" t="s">
        <v>818</v>
      </c>
      <c r="B1035" s="108">
        <f ca="1">IF(OFFSET('IWP05'!Std10dot5Withdrawals, 4, 0, 1, 1) =DATE(1900,1,0),DATE(1900,1,1),OFFSET('IWP05'!Std10dot5Withdrawals, 4, 0, 1, 1))</f>
        <v>1</v>
      </c>
      <c r="C1035" s="116">
        <f ca="1">OFFSET('IWP05'!Std10dot5Withdrawals, 4, 2, 1, 1)</f>
        <v>0</v>
      </c>
      <c r="D1035" s="164" t="str">
        <f ca="1">IF(OFFSET('IWP05'!Std10dot5Withdrawals, 4, 4, 1, 1) = 0, "", OFFSET('IWP05'!Std10dot5Withdrawals, 4, 4, 1, 1))</f>
        <v/>
      </c>
    </row>
    <row r="1036" spans="1:4">
      <c r="A1036" s="160" t="s">
        <v>818</v>
      </c>
      <c r="B1036" s="108">
        <f ca="1">IF(OFFSET('IWP05'!Std10dot5Withdrawals, 5, 0, 1, 1) =DATE(1900,1,0),DATE(1900,1,1),OFFSET('IWP05'!Std10dot5Withdrawals, 5, 0, 1, 1))</f>
        <v>1</v>
      </c>
      <c r="C1036" s="116">
        <f ca="1">OFFSET('IWP05'!Std10dot5Withdrawals, 5, 2, 1, 1)</f>
        <v>0</v>
      </c>
      <c r="D1036" s="164" t="str">
        <f ca="1">IF(OFFSET('IWP05'!Std10dot5Withdrawals, 5, 4, 1, 1) = 0, "", OFFSET('IWP05'!Std10dot5Withdrawals, 5, 4, 1, 1))</f>
        <v/>
      </c>
    </row>
    <row r="1037" spans="1:4">
      <c r="A1037" s="160" t="s">
        <v>818</v>
      </c>
      <c r="B1037" s="108">
        <f ca="1">IF(OFFSET('IWP05'!Std10dot5Withdrawals, 6, 0, 1, 1) =DATE(1900,1,0),DATE(1900,1,1),OFFSET('IWP05'!Std10dot5Withdrawals, 6, 0, 1, 1))</f>
        <v>1</v>
      </c>
      <c r="C1037" s="116">
        <f ca="1">OFFSET('IWP05'!Std10dot5Withdrawals, 6, 2, 1, 1)</f>
        <v>0</v>
      </c>
      <c r="D1037" s="164" t="str">
        <f ca="1">IF(OFFSET('IWP05'!Std10dot5Withdrawals, 6, 4, 1, 1) = 0, "", OFFSET('IWP05'!Std10dot5Withdrawals, 6, 4, 1, 1))</f>
        <v/>
      </c>
    </row>
    <row r="1038" spans="1:4">
      <c r="A1038" s="160" t="s">
        <v>818</v>
      </c>
      <c r="B1038" s="108">
        <f ca="1">IF(OFFSET('IWP05'!Std10dot5Withdrawals, 7, 0, 1, 1) =DATE(1900,1,0),DATE(1900,1,1),OFFSET('IWP05'!Std10dot5Withdrawals, 7, 0, 1, 1))</f>
        <v>1</v>
      </c>
      <c r="C1038" s="116">
        <f ca="1">OFFSET('IWP05'!Std10dot5Withdrawals, 7, 2, 1, 1)</f>
        <v>0</v>
      </c>
      <c r="D1038" s="164" t="str">
        <f ca="1">IF(OFFSET('IWP05'!Std10dot5Withdrawals, 7, 4, 1, 1) = 0, "", OFFSET('IWP05'!Std10dot5Withdrawals, 7, 4, 1, 1))</f>
        <v/>
      </c>
    </row>
    <row r="1039" spans="1:4">
      <c r="A1039" s="160" t="s">
        <v>818</v>
      </c>
      <c r="B1039" s="108">
        <f ca="1">IF(OFFSET('IWP05'!Std10dot5Withdrawals, 8, 0, 1, 1) =DATE(1900,1,0),DATE(1900,1,1),OFFSET('IWP05'!Std10dot5Withdrawals, 8, 0, 1, 1))</f>
        <v>1</v>
      </c>
      <c r="C1039" s="116">
        <f ca="1">OFFSET('IWP05'!Std10dot5Withdrawals, 8, 2, 1, 1)</f>
        <v>0</v>
      </c>
      <c r="D1039" s="164" t="str">
        <f ca="1">IF(OFFSET('IWP05'!Std10dot5Withdrawals, 8, 4, 1, 1) = 0, "", OFFSET('IWP05'!Std10dot5Withdrawals, 8, 4, 1, 1))</f>
        <v/>
      </c>
    </row>
    <row r="1040" spans="1:4">
      <c r="A1040" s="160" t="s">
        <v>818</v>
      </c>
      <c r="B1040" s="108">
        <f ca="1">IF(OFFSET('IWP05'!Std10dot5Withdrawals, 9, 0, 1, 1) =DATE(1900,1,0),DATE(1900,1,1),OFFSET('IWP05'!Std10dot5Withdrawals, 9, 0, 1, 1))</f>
        <v>1</v>
      </c>
      <c r="C1040" s="116">
        <f ca="1">OFFSET('IWP05'!Std10dot5Withdrawals, 9, 2, 1, 1)</f>
        <v>0</v>
      </c>
      <c r="D1040" s="164" t="str">
        <f ca="1">IF(OFFSET('IWP05'!Std10dot5Withdrawals, 9, 4, 1, 1) = 0, "", OFFSET('IWP05'!Std10dot5Withdrawals, 9, 4, 1, 1))</f>
        <v/>
      </c>
    </row>
    <row r="1041" spans="1:4">
      <c r="A1041" s="160" t="s">
        <v>819</v>
      </c>
      <c r="B1041" s="108">
        <f ca="1">IF(OFFSET('IWP06'!Std10dot5Withdrawals, 0, 0, 1, 1) =DATE(1900,1,0),DATE(1900,1,1),OFFSET('IWP06'!Std10dot5Withdrawals, 0, 0, 1, 1))</f>
        <v>1</v>
      </c>
      <c r="C1041" s="116">
        <f ca="1">OFFSET('IWP06'!Std10dot5Withdrawals, 0, 2, 1, 1)</f>
        <v>0</v>
      </c>
      <c r="D1041" s="164" t="str">
        <f ca="1">IF(OFFSET('IWP06'!Std10dot5Withdrawals, 0, 4, 1, 1) = 0, "", OFFSET('IWP06'!Std10dot5Withdrawals, 0, 4, 1, 1))</f>
        <v/>
      </c>
    </row>
    <row r="1042" spans="1:4">
      <c r="A1042" s="160" t="s">
        <v>819</v>
      </c>
      <c r="B1042" s="108">
        <f ca="1">IF(OFFSET('IWP06'!Std10dot5Withdrawals, 1, 0, 1, 1) =DATE(1900,1,0),DATE(1900,1,1),OFFSET('IWP06'!Std10dot5Withdrawals, 1, 0, 1, 1))</f>
        <v>1</v>
      </c>
      <c r="C1042" s="116">
        <f ca="1">OFFSET('IWP06'!Std10dot5Withdrawals, 1, 2, 1, 1)</f>
        <v>0</v>
      </c>
      <c r="D1042" s="164" t="str">
        <f ca="1">IF(OFFSET('IWP06'!Std10dot5Withdrawals, 1, 4, 1, 1) = 0, "", OFFSET('IWP06'!Std10dot5Withdrawals, 1, 4, 1, 1))</f>
        <v/>
      </c>
    </row>
    <row r="1043" spans="1:4">
      <c r="A1043" s="160" t="s">
        <v>819</v>
      </c>
      <c r="B1043" s="108">
        <f ca="1">IF(OFFSET('IWP06'!Std10dot5Withdrawals, 2, 0, 1, 1) =DATE(1900,1,0),DATE(1900,1,1),OFFSET('IWP06'!Std10dot5Withdrawals, 2, 0, 1, 1))</f>
        <v>1</v>
      </c>
      <c r="C1043" s="116">
        <f ca="1">OFFSET('IWP06'!Std10dot5Withdrawals, 2, 2, 1, 1)</f>
        <v>0</v>
      </c>
      <c r="D1043" s="164" t="str">
        <f ca="1">IF(OFFSET('IWP06'!Std10dot5Withdrawals, 2, 4, 1, 1) = 0, "", OFFSET('IWP06'!Std10dot5Withdrawals, 2, 4, 1, 1))</f>
        <v/>
      </c>
    </row>
    <row r="1044" spans="1:4">
      <c r="A1044" s="160" t="s">
        <v>819</v>
      </c>
      <c r="B1044" s="108">
        <f ca="1">IF(OFFSET('IWP06'!Std10dot5Withdrawals, 3, 0, 1, 1) =DATE(1900,1,0),DATE(1900,1,1),OFFSET('IWP06'!Std10dot5Withdrawals, 3, 0, 1, 1))</f>
        <v>1</v>
      </c>
      <c r="C1044" s="116">
        <f ca="1">OFFSET('IWP06'!Std10dot5Withdrawals, 3, 2, 1, 1)</f>
        <v>0</v>
      </c>
      <c r="D1044" s="164" t="str">
        <f ca="1">IF(OFFSET('IWP06'!Std10dot5Withdrawals, 3, 4, 1, 1) = 0, "", OFFSET('IWP06'!Std10dot5Withdrawals, 3, 4, 1, 1))</f>
        <v/>
      </c>
    </row>
    <row r="1045" spans="1:4">
      <c r="A1045" s="160" t="s">
        <v>819</v>
      </c>
      <c r="B1045" s="108">
        <f ca="1">IF(OFFSET('IWP06'!Std10dot5Withdrawals, 4, 0, 1, 1) =DATE(1900,1,0),DATE(1900,1,1),OFFSET('IWP06'!Std10dot5Withdrawals, 4, 0, 1, 1))</f>
        <v>1</v>
      </c>
      <c r="C1045" s="116">
        <f ca="1">OFFSET('IWP06'!Std10dot5Withdrawals, 4, 2, 1, 1)</f>
        <v>0</v>
      </c>
      <c r="D1045" s="164" t="str">
        <f ca="1">IF(OFFSET('IWP06'!Std10dot5Withdrawals, 4, 4, 1, 1) = 0, "", OFFSET('IWP06'!Std10dot5Withdrawals, 4, 4, 1, 1))</f>
        <v/>
      </c>
    </row>
    <row r="1046" spans="1:4">
      <c r="A1046" s="160" t="s">
        <v>819</v>
      </c>
      <c r="B1046" s="108">
        <f ca="1">IF(OFFSET('IWP06'!Std10dot5Withdrawals, 5, 0, 1, 1) =DATE(1900,1,0),DATE(1900,1,1),OFFSET('IWP06'!Std10dot5Withdrawals, 5, 0, 1, 1))</f>
        <v>1</v>
      </c>
      <c r="C1046" s="116">
        <f ca="1">OFFSET('IWP06'!Std10dot5Withdrawals, 5, 2, 1, 1)</f>
        <v>0</v>
      </c>
      <c r="D1046" s="164" t="str">
        <f ca="1">IF(OFFSET('IWP06'!Std10dot5Withdrawals, 5, 4, 1, 1) = 0, "", OFFSET('IWP06'!Std10dot5Withdrawals, 5, 4, 1, 1))</f>
        <v/>
      </c>
    </row>
    <row r="1047" spans="1:4">
      <c r="A1047" s="160" t="s">
        <v>819</v>
      </c>
      <c r="B1047" s="108">
        <f ca="1">IF(OFFSET('IWP06'!Std10dot5Withdrawals, 6, 0, 1, 1) =DATE(1900,1,0),DATE(1900,1,1),OFFSET('IWP06'!Std10dot5Withdrawals, 6, 0, 1, 1))</f>
        <v>1</v>
      </c>
      <c r="C1047" s="116">
        <f ca="1">OFFSET('IWP06'!Std10dot5Withdrawals, 6, 2, 1, 1)</f>
        <v>0</v>
      </c>
      <c r="D1047" s="164" t="str">
        <f ca="1">IF(OFFSET('IWP06'!Std10dot5Withdrawals, 6, 4, 1, 1) = 0, "", OFFSET('IWP06'!Std10dot5Withdrawals, 6, 4, 1, 1))</f>
        <v/>
      </c>
    </row>
    <row r="1048" spans="1:4">
      <c r="A1048" s="160" t="s">
        <v>819</v>
      </c>
      <c r="B1048" s="108">
        <f ca="1">IF(OFFSET('IWP06'!Std10dot5Withdrawals, 7, 0, 1, 1) =DATE(1900,1,0),DATE(1900,1,1),OFFSET('IWP06'!Std10dot5Withdrawals, 7, 0, 1, 1))</f>
        <v>1</v>
      </c>
      <c r="C1048" s="116">
        <f ca="1">OFFSET('IWP06'!Std10dot5Withdrawals, 7, 2, 1, 1)</f>
        <v>0</v>
      </c>
      <c r="D1048" s="164" t="str">
        <f ca="1">IF(OFFSET('IWP06'!Std10dot5Withdrawals, 7, 4, 1, 1) = 0, "", OFFSET('IWP06'!Std10dot5Withdrawals, 7, 4, 1, 1))</f>
        <v/>
      </c>
    </row>
    <row r="1049" spans="1:4">
      <c r="A1049" s="160" t="s">
        <v>819</v>
      </c>
      <c r="B1049" s="108">
        <f ca="1">IF(OFFSET('IWP06'!Std10dot5Withdrawals, 8, 0, 1, 1) =DATE(1900,1,0),DATE(1900,1,1),OFFSET('IWP06'!Std10dot5Withdrawals, 8, 0, 1, 1))</f>
        <v>1</v>
      </c>
      <c r="C1049" s="116">
        <f ca="1">OFFSET('IWP06'!Std10dot5Withdrawals, 8, 2, 1, 1)</f>
        <v>0</v>
      </c>
      <c r="D1049" s="164" t="str">
        <f ca="1">IF(OFFSET('IWP06'!Std10dot5Withdrawals, 8, 4, 1, 1) = 0, "", OFFSET('IWP06'!Std10dot5Withdrawals, 8, 4, 1, 1))</f>
        <v/>
      </c>
    </row>
    <row r="1050" spans="1:4">
      <c r="A1050" s="160" t="s">
        <v>819</v>
      </c>
      <c r="B1050" s="108">
        <f ca="1">IF(OFFSET('IWP06'!Std10dot5Withdrawals, 9, 0, 1, 1) =DATE(1900,1,0),DATE(1900,1,1),OFFSET('IWP06'!Std10dot5Withdrawals, 9, 0, 1, 1))</f>
        <v>1</v>
      </c>
      <c r="C1050" s="116">
        <f ca="1">OFFSET('IWP06'!Std10dot5Withdrawals, 9, 2, 1, 1)</f>
        <v>0</v>
      </c>
      <c r="D1050" s="164" t="str">
        <f ca="1">IF(OFFSET('IWP06'!Std10dot5Withdrawals, 9, 4, 1, 1) = 0, "", OFFSET('IWP06'!Std10dot5Withdrawals, 9, 4, 1, 1))</f>
        <v/>
      </c>
    </row>
    <row r="1051" spans="1:4">
      <c r="A1051" s="160" t="s">
        <v>820</v>
      </c>
      <c r="B1051" s="108">
        <f ca="1">IF(OFFSET('IWP07'!Std10dot5Withdrawals, 0, 0, 1, 1) =DATE(1900,1,0),DATE(1900,1,1),OFFSET('IWP07'!Std10dot5Withdrawals, 0, 0, 1, 1))</f>
        <v>1</v>
      </c>
      <c r="C1051" s="116">
        <f ca="1">OFFSET('IWP07'!Std10dot5Withdrawals, 0, 2, 1, 1)</f>
        <v>0</v>
      </c>
      <c r="D1051" s="164" t="str">
        <f ca="1">IF(OFFSET('IWP07'!Std10dot5Withdrawals, 0, 4, 1, 1) = 0, "", OFFSET('IWP07'!Std10dot5Withdrawals, 0, 4, 1, 1))</f>
        <v/>
      </c>
    </row>
    <row r="1052" spans="1:4">
      <c r="A1052" s="160" t="s">
        <v>820</v>
      </c>
      <c r="B1052" s="108">
        <f ca="1">IF(OFFSET('IWP07'!Std10dot5Withdrawals, 1, 0, 1, 1) =DATE(1900,1,0),DATE(1900,1,1),OFFSET('IWP07'!Std10dot5Withdrawals, 1, 0, 1, 1))</f>
        <v>1</v>
      </c>
      <c r="C1052" s="116">
        <f ca="1">OFFSET('IWP07'!Std10dot5Withdrawals, 1, 2, 1, 1)</f>
        <v>0</v>
      </c>
      <c r="D1052" s="164" t="str">
        <f ca="1">IF(OFFSET('IWP07'!Std10dot5Withdrawals, 1, 4, 1, 1) = 0, "", OFFSET('IWP07'!Std10dot5Withdrawals, 1, 4, 1, 1))</f>
        <v/>
      </c>
    </row>
    <row r="1053" spans="1:4">
      <c r="A1053" s="160" t="s">
        <v>820</v>
      </c>
      <c r="B1053" s="108">
        <f ca="1">IF(OFFSET('IWP07'!Std10dot5Withdrawals, 2, 0, 1, 1) =DATE(1900,1,0),DATE(1900,1,1),OFFSET('IWP07'!Std10dot5Withdrawals, 2, 0, 1, 1))</f>
        <v>1</v>
      </c>
      <c r="C1053" s="116">
        <f ca="1">OFFSET('IWP07'!Std10dot5Withdrawals, 2, 2, 1, 1)</f>
        <v>0</v>
      </c>
      <c r="D1053" s="164" t="str">
        <f ca="1">IF(OFFSET('IWP07'!Std10dot5Withdrawals, 2, 4, 1, 1) = 0, "", OFFSET('IWP07'!Std10dot5Withdrawals, 2, 4, 1, 1))</f>
        <v/>
      </c>
    </row>
    <row r="1054" spans="1:4">
      <c r="A1054" s="160" t="s">
        <v>820</v>
      </c>
      <c r="B1054" s="108">
        <f ca="1">IF(OFFSET('IWP07'!Std10dot5Withdrawals, 3, 0, 1, 1) =DATE(1900,1,0),DATE(1900,1,1),OFFSET('IWP07'!Std10dot5Withdrawals, 3, 0, 1, 1))</f>
        <v>1</v>
      </c>
      <c r="C1054" s="116">
        <f ca="1">OFFSET('IWP07'!Std10dot5Withdrawals, 3, 2, 1, 1)</f>
        <v>0</v>
      </c>
      <c r="D1054" s="164" t="str">
        <f ca="1">IF(OFFSET('IWP07'!Std10dot5Withdrawals, 3, 4, 1, 1) = 0, "", OFFSET('IWP07'!Std10dot5Withdrawals, 3, 4, 1, 1))</f>
        <v/>
      </c>
    </row>
    <row r="1055" spans="1:4">
      <c r="A1055" s="160" t="s">
        <v>820</v>
      </c>
      <c r="B1055" s="108">
        <f ca="1">IF(OFFSET('IWP07'!Std10dot5Withdrawals, 4, 0, 1, 1) =DATE(1900,1,0),DATE(1900,1,1),OFFSET('IWP07'!Std10dot5Withdrawals, 4, 0, 1, 1))</f>
        <v>1</v>
      </c>
      <c r="C1055" s="116">
        <f ca="1">OFFSET('IWP07'!Std10dot5Withdrawals, 4, 2, 1, 1)</f>
        <v>0</v>
      </c>
      <c r="D1055" s="164" t="str">
        <f ca="1">IF(OFFSET('IWP07'!Std10dot5Withdrawals, 4, 4, 1, 1) = 0, "", OFFSET('IWP07'!Std10dot5Withdrawals, 4, 4, 1, 1))</f>
        <v/>
      </c>
    </row>
    <row r="1056" spans="1:4">
      <c r="A1056" s="160" t="s">
        <v>820</v>
      </c>
      <c r="B1056" s="108">
        <f ca="1">IF(OFFSET('IWP07'!Std10dot5Withdrawals, 5, 0, 1, 1) =DATE(1900,1,0),DATE(1900,1,1),OFFSET('IWP07'!Std10dot5Withdrawals, 5, 0, 1, 1))</f>
        <v>1</v>
      </c>
      <c r="C1056" s="116">
        <f ca="1">OFFSET('IWP07'!Std10dot5Withdrawals, 5, 2, 1, 1)</f>
        <v>0</v>
      </c>
      <c r="D1056" s="164" t="str">
        <f ca="1">IF(OFFSET('IWP07'!Std10dot5Withdrawals, 5, 4, 1, 1) = 0, "", OFFSET('IWP07'!Std10dot5Withdrawals, 5, 4, 1, 1))</f>
        <v/>
      </c>
    </row>
    <row r="1057" spans="1:4">
      <c r="A1057" s="160" t="s">
        <v>820</v>
      </c>
      <c r="B1057" s="108">
        <f ca="1">IF(OFFSET('IWP07'!Std10dot5Withdrawals, 6, 0, 1, 1) =DATE(1900,1,0),DATE(1900,1,1),OFFSET('IWP07'!Std10dot5Withdrawals, 6, 0, 1, 1))</f>
        <v>1</v>
      </c>
      <c r="C1057" s="116">
        <f ca="1">OFFSET('IWP07'!Std10dot5Withdrawals, 6, 2, 1, 1)</f>
        <v>0</v>
      </c>
      <c r="D1057" s="164" t="str">
        <f ca="1">IF(OFFSET('IWP07'!Std10dot5Withdrawals, 6, 4, 1, 1) = 0, "", OFFSET('IWP07'!Std10dot5Withdrawals, 6, 4, 1, 1))</f>
        <v/>
      </c>
    </row>
    <row r="1058" spans="1:4">
      <c r="A1058" s="160" t="s">
        <v>820</v>
      </c>
      <c r="B1058" s="108">
        <f ca="1">IF(OFFSET('IWP07'!Std10dot5Withdrawals, 7, 0, 1, 1) =DATE(1900,1,0),DATE(1900,1,1),OFFSET('IWP07'!Std10dot5Withdrawals, 7, 0, 1, 1))</f>
        <v>1</v>
      </c>
      <c r="C1058" s="116">
        <f ca="1">OFFSET('IWP07'!Std10dot5Withdrawals, 7, 2, 1, 1)</f>
        <v>0</v>
      </c>
      <c r="D1058" s="164" t="str">
        <f ca="1">IF(OFFSET('IWP07'!Std10dot5Withdrawals, 7, 4, 1, 1) = 0, "", OFFSET('IWP07'!Std10dot5Withdrawals, 7, 4, 1, 1))</f>
        <v/>
      </c>
    </row>
    <row r="1059" spans="1:4">
      <c r="A1059" s="160" t="s">
        <v>820</v>
      </c>
      <c r="B1059" s="108">
        <f ca="1">IF(OFFSET('IWP07'!Std10dot5Withdrawals, 8, 0, 1, 1) =DATE(1900,1,0),DATE(1900,1,1),OFFSET('IWP07'!Std10dot5Withdrawals, 8, 0, 1, 1))</f>
        <v>1</v>
      </c>
      <c r="C1059" s="116">
        <f ca="1">OFFSET('IWP07'!Std10dot5Withdrawals, 8, 2, 1, 1)</f>
        <v>0</v>
      </c>
      <c r="D1059" s="164" t="str">
        <f ca="1">IF(OFFSET('IWP07'!Std10dot5Withdrawals, 8, 4, 1, 1) = 0, "", OFFSET('IWP07'!Std10dot5Withdrawals, 8, 4, 1, 1))</f>
        <v/>
      </c>
    </row>
    <row r="1060" spans="1:4">
      <c r="A1060" s="160" t="s">
        <v>820</v>
      </c>
      <c r="B1060" s="108">
        <f ca="1">IF(OFFSET('IWP07'!Std10dot5Withdrawals, 9, 0, 1, 1) =DATE(1900,1,0),DATE(1900,1,1),OFFSET('IWP07'!Std10dot5Withdrawals, 9, 0, 1, 1))</f>
        <v>1</v>
      </c>
      <c r="C1060" s="116">
        <f ca="1">OFFSET('IWP07'!Std10dot5Withdrawals, 9, 2, 1, 1)</f>
        <v>0</v>
      </c>
      <c r="D1060" s="164" t="str">
        <f ca="1">IF(OFFSET('IWP07'!Std10dot5Withdrawals, 9, 4, 1, 1) = 0, "", OFFSET('IWP07'!Std10dot5Withdrawals, 9, 4, 1, 1))</f>
        <v/>
      </c>
    </row>
    <row r="1061" spans="1:4">
      <c r="A1061" s="160" t="s">
        <v>821</v>
      </c>
      <c r="B1061" s="108">
        <f ca="1">IF(OFFSET('IWP08'!Std10dot5Withdrawals, 0, 0, 1, 1) =DATE(1900,1,0),DATE(1900,1,1),OFFSET('IWP08'!Std10dot5Withdrawals, 0, 0, 1, 1))</f>
        <v>1</v>
      </c>
      <c r="C1061" s="116">
        <f ca="1">OFFSET('IWP08'!Std10dot5Withdrawals, 0, 2, 1, 1)</f>
        <v>0</v>
      </c>
      <c r="D1061" s="164" t="str">
        <f ca="1">IF(OFFSET('IWP08'!Std10dot5Withdrawals, 0, 4, 1, 1) = 0, "", OFFSET('IWP08'!Std10dot5Withdrawals, 0, 4, 1, 1))</f>
        <v/>
      </c>
    </row>
    <row r="1062" spans="1:4">
      <c r="A1062" s="160" t="s">
        <v>821</v>
      </c>
      <c r="B1062" s="108">
        <f ca="1">IF(OFFSET('IWP08'!Std10dot5Withdrawals, 1, 0, 1, 1) =DATE(1900,1,0),DATE(1900,1,1),OFFSET('IWP08'!Std10dot5Withdrawals, 1, 0, 1, 1))</f>
        <v>1</v>
      </c>
      <c r="C1062" s="116">
        <f ca="1">OFFSET('IWP08'!Std10dot5Withdrawals, 1, 2, 1, 1)</f>
        <v>0</v>
      </c>
      <c r="D1062" s="164" t="str">
        <f ca="1">IF(OFFSET('IWP08'!Std10dot5Withdrawals, 1, 4, 1, 1) = 0, "", OFFSET('IWP08'!Std10dot5Withdrawals, 1, 4, 1, 1))</f>
        <v/>
      </c>
    </row>
    <row r="1063" spans="1:4">
      <c r="A1063" s="160" t="s">
        <v>821</v>
      </c>
      <c r="B1063" s="108">
        <f ca="1">IF(OFFSET('IWP08'!Std10dot5Withdrawals, 2, 0, 1, 1) =DATE(1900,1,0),DATE(1900,1,1),OFFSET('IWP08'!Std10dot5Withdrawals, 2, 0, 1, 1))</f>
        <v>1</v>
      </c>
      <c r="C1063" s="116">
        <f ca="1">OFFSET('IWP08'!Std10dot5Withdrawals, 2, 2, 1, 1)</f>
        <v>0</v>
      </c>
      <c r="D1063" s="164" t="str">
        <f ca="1">IF(OFFSET('IWP08'!Std10dot5Withdrawals, 2, 4, 1, 1) = 0, "", OFFSET('IWP08'!Std10dot5Withdrawals, 2, 4, 1, 1))</f>
        <v/>
      </c>
    </row>
    <row r="1064" spans="1:4">
      <c r="A1064" s="160" t="s">
        <v>821</v>
      </c>
      <c r="B1064" s="108">
        <f ca="1">IF(OFFSET('IWP08'!Std10dot5Withdrawals, 3, 0, 1, 1) =DATE(1900,1,0),DATE(1900,1,1),OFFSET('IWP08'!Std10dot5Withdrawals, 3, 0, 1, 1))</f>
        <v>1</v>
      </c>
      <c r="C1064" s="116">
        <f ca="1">OFFSET('IWP08'!Std10dot5Withdrawals, 3, 2, 1, 1)</f>
        <v>0</v>
      </c>
      <c r="D1064" s="164" t="str">
        <f ca="1">IF(OFFSET('IWP08'!Std10dot5Withdrawals, 3, 4, 1, 1) = 0, "", OFFSET('IWP08'!Std10dot5Withdrawals, 3, 4, 1, 1))</f>
        <v/>
      </c>
    </row>
    <row r="1065" spans="1:4">
      <c r="A1065" s="160" t="s">
        <v>821</v>
      </c>
      <c r="B1065" s="108">
        <f ca="1">IF(OFFSET('IWP08'!Std10dot5Withdrawals, 4, 0, 1, 1) =DATE(1900,1,0),DATE(1900,1,1),OFFSET('IWP08'!Std10dot5Withdrawals, 4, 0, 1, 1))</f>
        <v>1</v>
      </c>
      <c r="C1065" s="116">
        <f ca="1">OFFSET('IWP08'!Std10dot5Withdrawals, 4, 2, 1, 1)</f>
        <v>0</v>
      </c>
      <c r="D1065" s="164" t="str">
        <f ca="1">IF(OFFSET('IWP08'!Std10dot5Withdrawals, 4, 4, 1, 1) = 0, "", OFFSET('IWP08'!Std10dot5Withdrawals, 4, 4, 1, 1))</f>
        <v/>
      </c>
    </row>
    <row r="1066" spans="1:4">
      <c r="A1066" s="160" t="s">
        <v>821</v>
      </c>
      <c r="B1066" s="108">
        <f ca="1">IF(OFFSET('IWP08'!Std10dot5Withdrawals, 5, 0, 1, 1) =DATE(1900,1,0),DATE(1900,1,1),OFFSET('IWP08'!Std10dot5Withdrawals, 5, 0, 1, 1))</f>
        <v>1</v>
      </c>
      <c r="C1066" s="116">
        <f ca="1">OFFSET('IWP08'!Std10dot5Withdrawals, 5, 2, 1, 1)</f>
        <v>0</v>
      </c>
      <c r="D1066" s="164" t="str">
        <f ca="1">IF(OFFSET('IWP08'!Std10dot5Withdrawals, 5, 4, 1, 1) = 0, "", OFFSET('IWP08'!Std10dot5Withdrawals, 5, 4, 1, 1))</f>
        <v/>
      </c>
    </row>
    <row r="1067" spans="1:4">
      <c r="A1067" s="160" t="s">
        <v>821</v>
      </c>
      <c r="B1067" s="108">
        <f ca="1">IF(OFFSET('IWP08'!Std10dot5Withdrawals, 6, 0, 1, 1) =DATE(1900,1,0),DATE(1900,1,1),OFFSET('IWP08'!Std10dot5Withdrawals, 6, 0, 1, 1))</f>
        <v>1</v>
      </c>
      <c r="C1067" s="116">
        <f ca="1">OFFSET('IWP08'!Std10dot5Withdrawals, 6, 2, 1, 1)</f>
        <v>0</v>
      </c>
      <c r="D1067" s="164" t="str">
        <f ca="1">IF(OFFSET('IWP08'!Std10dot5Withdrawals, 6, 4, 1, 1) = 0, "", OFFSET('IWP08'!Std10dot5Withdrawals, 6, 4, 1, 1))</f>
        <v/>
      </c>
    </row>
    <row r="1068" spans="1:4">
      <c r="A1068" s="160" t="s">
        <v>821</v>
      </c>
      <c r="B1068" s="108">
        <f ca="1">IF(OFFSET('IWP08'!Std10dot5Withdrawals, 7, 0, 1, 1) =DATE(1900,1,0),DATE(1900,1,1),OFFSET('IWP08'!Std10dot5Withdrawals, 7, 0, 1, 1))</f>
        <v>1</v>
      </c>
      <c r="C1068" s="116">
        <f ca="1">OFFSET('IWP08'!Std10dot5Withdrawals, 7, 2, 1, 1)</f>
        <v>0</v>
      </c>
      <c r="D1068" s="164" t="str">
        <f ca="1">IF(OFFSET('IWP08'!Std10dot5Withdrawals, 7, 4, 1, 1) = 0, "", OFFSET('IWP08'!Std10dot5Withdrawals, 7, 4, 1, 1))</f>
        <v/>
      </c>
    </row>
    <row r="1069" spans="1:4">
      <c r="A1069" s="160" t="s">
        <v>821</v>
      </c>
      <c r="B1069" s="108">
        <f ca="1">IF(OFFSET('IWP08'!Std10dot5Withdrawals, 8, 0, 1, 1) =DATE(1900,1,0),DATE(1900,1,1),OFFSET('IWP08'!Std10dot5Withdrawals, 8, 0, 1, 1))</f>
        <v>1</v>
      </c>
      <c r="C1069" s="116">
        <f ca="1">OFFSET('IWP08'!Std10dot5Withdrawals, 8, 2, 1, 1)</f>
        <v>0</v>
      </c>
      <c r="D1069" s="164" t="str">
        <f ca="1">IF(OFFSET('IWP08'!Std10dot5Withdrawals, 8, 4, 1, 1) = 0, "", OFFSET('IWP08'!Std10dot5Withdrawals, 8, 4, 1, 1))</f>
        <v/>
      </c>
    </row>
    <row r="1070" spans="1:4" ht="15" thickBot="1">
      <c r="A1070" s="161" t="s">
        <v>821</v>
      </c>
      <c r="B1070" s="110">
        <f ca="1">IF(OFFSET('IWP08'!Std10dot5Withdrawals, 9, 0, 1, 1) =DATE(1900,1,0),DATE(1900,1,1),OFFSET('IWP08'!Std10dot5Withdrawals, 9, 0, 1, 1))</f>
        <v>1</v>
      </c>
      <c r="C1070" s="117">
        <f ca="1">OFFSET('IWP08'!Std10dot5Withdrawals, 9, 2, 1, 1)</f>
        <v>0</v>
      </c>
      <c r="D1070" s="165" t="str">
        <f ca="1">IF(OFFSET('IWP08'!Std10dot5Withdrawals, 9, 4, 1, 1) = 0, "", OFFSET('IWP08'!Std10dot5Withdrawals, 9, 4, 1, 1))</f>
        <v/>
      </c>
    </row>
    <row r="1072" spans="1:4" ht="15" thickBot="1">
      <c r="A1072" t="s">
        <v>892</v>
      </c>
    </row>
    <row r="1073" spans="1:9" s="95" customFormat="1" ht="29">
      <c r="A1073" s="96" t="s">
        <v>725</v>
      </c>
      <c r="B1073" s="97" t="s">
        <v>824</v>
      </c>
      <c r="C1073" s="97" t="s">
        <v>825</v>
      </c>
      <c r="D1073" s="97" t="s">
        <v>826</v>
      </c>
      <c r="E1073" s="97" t="s">
        <v>902</v>
      </c>
      <c r="F1073" s="97" t="s">
        <v>702</v>
      </c>
      <c r="G1073" s="97" t="s">
        <v>827</v>
      </c>
      <c r="H1073" s="97" t="s">
        <v>828</v>
      </c>
      <c r="I1073" s="98" t="s">
        <v>829</v>
      </c>
    </row>
    <row r="1074" spans="1:9">
      <c r="A1074" s="160" t="s">
        <v>747</v>
      </c>
      <c r="B1074" s="108">
        <f ca="1">IF(OFFSET('IWP01'!Std11dot3Billing, 0, 0, 1, 1) =DATE(1900,1,0),DATE(1900,1,1),OFFSET('IWP01'!Std11dot3Billing, 0, 0, 1, 1))</f>
        <v>1</v>
      </c>
      <c r="C1074" s="162">
        <f ca="1">OFFSET('IWP01'!Std11dot3Billing, 0, 2, 1, 1)</f>
        <v>0</v>
      </c>
      <c r="D1074" s="116">
        <f ca="1">OFFSET('IWP01'!Std11dot3Billing, 0, 3, 1, 1)</f>
        <v>0</v>
      </c>
      <c r="E1074" s="116">
        <f ca="1">OFFSET('IWP01'!Std11dot3Billing, 0, 5, 1, 1)</f>
        <v>0</v>
      </c>
      <c r="F1074" s="162">
        <f ca="1">OFFSET('IWP01'!Std11dot3Billing, 0, 7, 1, 1)</f>
        <v>0</v>
      </c>
      <c r="G1074" s="116">
        <f ca="1">IF(OFFSET('IWP01'!Std11dot3Billing, 0, 8, 1, 1) = "", 0, OFFSET('IWP01'!Std11dot3Billing, 0, 8, 1, 1))</f>
        <v>0</v>
      </c>
      <c r="H1074" s="108">
        <f ca="1">IF(OFFSET('IWP01'!Std11dot3Billing, 0, 10, 1, 1) =DATE(1900,1,0),DATE(1900,1,1),OFFSET('IWP01'!Std11dot3Billing, 0, 10, 1, 1))</f>
        <v>1</v>
      </c>
      <c r="I1074" s="123">
        <f ca="1">IF(OFFSET('IWP01'!Std11dot3Billing, 0, 12, 1, 1) =DATE(1900,1,0),DATE(1900,1,1),OFFSET('IWP01'!Std11dot3Billing, 0, 12, 1, 1))</f>
        <v>1</v>
      </c>
    </row>
    <row r="1075" spans="1:9">
      <c r="A1075" s="160" t="s">
        <v>747</v>
      </c>
      <c r="B1075" s="108">
        <f ca="1">IF(OFFSET('IWP01'!Std11dot3Billing, 1, 0, 1, 1) =DATE(1900,1,0),DATE(1900,1,1),OFFSET('IWP01'!Std11dot3Billing, 1, 0, 1, 1))</f>
        <v>1</v>
      </c>
      <c r="C1075" s="162">
        <f ca="1">OFFSET('IWP01'!Std11dot3Billing, 1, 2, 1, 1)</f>
        <v>0</v>
      </c>
      <c r="D1075" s="116">
        <f ca="1">OFFSET('IWP01'!Std11dot3Billing, 1, 3, 1, 1)</f>
        <v>0</v>
      </c>
      <c r="E1075" s="116">
        <f ca="1">OFFSET('IWP01'!Std11dot3Billing, 1, 5, 1, 1)</f>
        <v>0</v>
      </c>
      <c r="F1075" s="162">
        <f ca="1">OFFSET('IWP01'!Std11dot3Billing, 1, 7, 1, 1)</f>
        <v>0</v>
      </c>
      <c r="G1075" s="116">
        <f ca="1">IF(OFFSET('IWP01'!Std11dot3Billing, 1, 8, 1, 1) = "", 0, OFFSET('IWP01'!Std11dot3Billing, 1, 8, 1, 1))</f>
        <v>0</v>
      </c>
      <c r="H1075" s="108">
        <f ca="1">IF(OFFSET('IWP01'!Std11dot3Billing, 1, 10, 1, 1) =DATE(1900,1,0),DATE(1900,1,1),OFFSET('IWP01'!Std11dot3Billing, 1, 10, 1, 1))</f>
        <v>1</v>
      </c>
      <c r="I1075" s="123">
        <f ca="1">IF(OFFSET('IWP01'!Std11dot3Billing, 1, 12, 1, 1) =DATE(1900,1,0),DATE(1900,1,1),OFFSET('IWP01'!Std11dot3Billing, 1, 12, 1, 1))</f>
        <v>1</v>
      </c>
    </row>
    <row r="1076" spans="1:9">
      <c r="A1076" s="160" t="s">
        <v>747</v>
      </c>
      <c r="B1076" s="108">
        <f ca="1">IF(OFFSET('IWP01'!Std11dot3Billing, 2, 0, 1, 1) =DATE(1900,1,0),DATE(1900,1,1),OFFSET('IWP01'!Std11dot3Billing, 2, 0, 1, 1))</f>
        <v>1</v>
      </c>
      <c r="C1076" s="162">
        <f ca="1">OFFSET('IWP01'!Std11dot3Billing, 2, 2, 1, 1)</f>
        <v>0</v>
      </c>
      <c r="D1076" s="116">
        <f ca="1">OFFSET('IWP01'!Std11dot3Billing, 2, 3, 1, 1)</f>
        <v>0</v>
      </c>
      <c r="E1076" s="116">
        <f ca="1">OFFSET('IWP01'!Std11dot3Billing, 2, 5, 1, 1)</f>
        <v>0</v>
      </c>
      <c r="F1076" s="162">
        <f ca="1">OFFSET('IWP01'!Std11dot3Billing, 2, 7, 1, 1)</f>
        <v>0</v>
      </c>
      <c r="G1076" s="116">
        <f ca="1">IF(OFFSET('IWP01'!Std11dot3Billing, 2, 8, 1, 1) = "", 0, OFFSET('IWP01'!Std11dot3Billing, 2, 8, 1, 1))</f>
        <v>0</v>
      </c>
      <c r="H1076" s="108">
        <f ca="1">IF(OFFSET('IWP01'!Std11dot3Billing, 2, 10, 1, 1) =DATE(1900,1,0),DATE(1900,1,1),OFFSET('IWP01'!Std11dot3Billing, 2, 10, 1, 1))</f>
        <v>1</v>
      </c>
      <c r="I1076" s="123">
        <f ca="1">IF(OFFSET('IWP01'!Std11dot3Billing, 2, 12, 1, 1) =DATE(1900,1,0),DATE(1900,1,1),OFFSET('IWP01'!Std11dot3Billing, 2, 12, 1, 1))</f>
        <v>1</v>
      </c>
    </row>
    <row r="1077" spans="1:9">
      <c r="A1077" s="160" t="s">
        <v>747</v>
      </c>
      <c r="B1077" s="108">
        <f ca="1">IF(OFFSET('IWP01'!Std11dot3Billing, 3, 0, 1, 1) =DATE(1900,1,0),DATE(1900,1,1),OFFSET('IWP01'!Std11dot3Billing, 3, 0, 1, 1))</f>
        <v>1</v>
      </c>
      <c r="C1077" s="162">
        <f ca="1">OFFSET('IWP01'!Std11dot3Billing, 3, 2, 1, 1)</f>
        <v>0</v>
      </c>
      <c r="D1077" s="116">
        <f ca="1">OFFSET('IWP01'!Std11dot3Billing, 3, 3, 1, 1)</f>
        <v>0</v>
      </c>
      <c r="E1077" s="116">
        <f ca="1">OFFSET('IWP01'!Std11dot3Billing, 3, 5, 1, 1)</f>
        <v>0</v>
      </c>
      <c r="F1077" s="162">
        <f ca="1">OFFSET('IWP01'!Std11dot3Billing, 3, 7, 1, 1)</f>
        <v>0</v>
      </c>
      <c r="G1077" s="116">
        <f ca="1">IF(OFFSET('IWP01'!Std11dot3Billing, 3, 8, 1, 1) = "", 0, OFFSET('IWP01'!Std11dot3Billing, 3, 8, 1, 1))</f>
        <v>0</v>
      </c>
      <c r="H1077" s="108">
        <f ca="1">IF(OFFSET('IWP01'!Std11dot3Billing, 3, 10, 1, 1) =DATE(1900,1,0),DATE(1900,1,1),OFFSET('IWP01'!Std11dot3Billing, 3, 10, 1, 1))</f>
        <v>1</v>
      </c>
      <c r="I1077" s="123">
        <f ca="1">IF(OFFSET('IWP01'!Std11dot3Billing, 3, 12, 1, 1) =DATE(1900,1,0),DATE(1900,1,1),OFFSET('IWP01'!Std11dot3Billing, 3, 12, 1, 1))</f>
        <v>1</v>
      </c>
    </row>
    <row r="1078" spans="1:9">
      <c r="A1078" s="160" t="s">
        <v>747</v>
      </c>
      <c r="B1078" s="108">
        <f ca="1">IF(OFFSET('IWP01'!Std11dot3Billing, 4, 0, 1, 1) =DATE(1900,1,0),DATE(1900,1,1),OFFSET('IWP01'!Std11dot3Billing, 4, 0, 1, 1))</f>
        <v>1</v>
      </c>
      <c r="C1078" s="162">
        <f ca="1">OFFSET('IWP01'!Std11dot3Billing, 4, 2, 1, 1)</f>
        <v>0</v>
      </c>
      <c r="D1078" s="116">
        <f ca="1">OFFSET('IWP01'!Std11dot3Billing, 4, 3, 1, 1)</f>
        <v>0</v>
      </c>
      <c r="E1078" s="116">
        <f ca="1">OFFSET('IWP01'!Std11dot3Billing, 4, 5, 1, 1)</f>
        <v>0</v>
      </c>
      <c r="F1078" s="162">
        <f ca="1">OFFSET('IWP01'!Std11dot3Billing, 4, 7, 1, 1)</f>
        <v>0</v>
      </c>
      <c r="G1078" s="116">
        <f ca="1">IF(OFFSET('IWP01'!Std11dot3Billing, 4, 8, 1, 1) = "", 0, OFFSET('IWP01'!Std11dot3Billing, 4, 8, 1, 1))</f>
        <v>0</v>
      </c>
      <c r="H1078" s="108">
        <f ca="1">IF(OFFSET('IWP01'!Std11dot3Billing, 4, 10, 1, 1) =DATE(1900,1,0),DATE(1900,1,1),OFFSET('IWP01'!Std11dot3Billing, 4, 10, 1, 1))</f>
        <v>1</v>
      </c>
      <c r="I1078" s="123">
        <f ca="1">IF(OFFSET('IWP01'!Std11dot3Billing, 4, 12, 1, 1) =DATE(1900,1,0),DATE(1900,1,1),OFFSET('IWP01'!Std11dot3Billing, 4, 12, 1, 1))</f>
        <v>1</v>
      </c>
    </row>
    <row r="1079" spans="1:9">
      <c r="A1079" s="160" t="s">
        <v>747</v>
      </c>
      <c r="B1079" s="108">
        <f ca="1">IF(OFFSET('IWP01'!Std11dot3Billing, 5, 0, 1, 1) =DATE(1900,1,0),DATE(1900,1,1),OFFSET('IWP01'!Std11dot3Billing, 5, 0, 1, 1))</f>
        <v>1</v>
      </c>
      <c r="C1079" s="162">
        <f ca="1">OFFSET('IWP01'!Std11dot3Billing, 5, 2, 1, 1)</f>
        <v>0</v>
      </c>
      <c r="D1079" s="116">
        <f ca="1">OFFSET('IWP01'!Std11dot3Billing, 5, 3, 1, 1)</f>
        <v>0</v>
      </c>
      <c r="E1079" s="116">
        <f ca="1">OFFSET('IWP01'!Std11dot3Billing, 5, 5, 1, 1)</f>
        <v>0</v>
      </c>
      <c r="F1079" s="162">
        <f ca="1">OFFSET('IWP01'!Std11dot3Billing, 5, 7, 1, 1)</f>
        <v>0</v>
      </c>
      <c r="G1079" s="116">
        <f ca="1">IF(OFFSET('IWP01'!Std11dot3Billing, 5, 8, 1, 1) = "", 0, OFFSET('IWP01'!Std11dot3Billing, 5, 8, 1, 1))</f>
        <v>0</v>
      </c>
      <c r="H1079" s="108">
        <f ca="1">IF(OFFSET('IWP01'!Std11dot3Billing, 5, 10, 1, 1) =DATE(1900,1,0),DATE(1900,1,1),OFFSET('IWP01'!Std11dot3Billing, 5, 10, 1, 1))</f>
        <v>1</v>
      </c>
      <c r="I1079" s="123">
        <f ca="1">IF(OFFSET('IWP01'!Std11dot3Billing, 5, 12, 1, 1) =DATE(1900,1,0),DATE(1900,1,1),OFFSET('IWP01'!Std11dot3Billing, 5, 12, 1, 1))</f>
        <v>1</v>
      </c>
    </row>
    <row r="1080" spans="1:9">
      <c r="A1080" s="160" t="s">
        <v>747</v>
      </c>
      <c r="B1080" s="108">
        <f ca="1">IF(OFFSET('IWP01'!Std11dot3Billing, 6, 0, 1, 1) =DATE(1900,1,0),DATE(1900,1,1),OFFSET('IWP01'!Std11dot3Billing, 6, 0, 1, 1))</f>
        <v>1</v>
      </c>
      <c r="C1080" s="162">
        <f ca="1">OFFSET('IWP01'!Std11dot3Billing, 6, 2, 1, 1)</f>
        <v>0</v>
      </c>
      <c r="D1080" s="116">
        <f ca="1">OFFSET('IWP01'!Std11dot3Billing, 6, 3, 1, 1)</f>
        <v>0</v>
      </c>
      <c r="E1080" s="116">
        <f ca="1">OFFSET('IWP01'!Std11dot3Billing, 6, 5, 1, 1)</f>
        <v>0</v>
      </c>
      <c r="F1080" s="162">
        <f ca="1">OFFSET('IWP01'!Std11dot3Billing, 6, 7, 1, 1)</f>
        <v>0</v>
      </c>
      <c r="G1080" s="116">
        <f ca="1">IF(OFFSET('IWP01'!Std11dot3Billing, 6, 8, 1, 1) = "", 0, OFFSET('IWP01'!Std11dot3Billing, 6, 8, 1, 1))</f>
        <v>0</v>
      </c>
      <c r="H1080" s="108">
        <f ca="1">IF(OFFSET('IWP01'!Std11dot3Billing, 6, 10, 1, 1) =DATE(1900,1,0),DATE(1900,1,1),OFFSET('IWP01'!Std11dot3Billing, 6, 10, 1, 1))</f>
        <v>1</v>
      </c>
      <c r="I1080" s="123">
        <f ca="1">IF(OFFSET('IWP01'!Std11dot3Billing, 6, 12, 1, 1) =DATE(1900,1,0),DATE(1900,1,1),OFFSET('IWP01'!Std11dot3Billing, 6, 12, 1, 1))</f>
        <v>1</v>
      </c>
    </row>
    <row r="1081" spans="1:9">
      <c r="A1081" s="160" t="s">
        <v>747</v>
      </c>
      <c r="B1081" s="108">
        <f ca="1">IF(OFFSET('IWP01'!Std11dot3Billing, 7, 0, 1, 1) =DATE(1900,1,0),DATE(1900,1,1),OFFSET('IWP01'!Std11dot3Billing, 7, 0, 1, 1))</f>
        <v>1</v>
      </c>
      <c r="C1081" s="162">
        <f ca="1">OFFSET('IWP01'!Std11dot3Billing, 7, 2, 1, 1)</f>
        <v>0</v>
      </c>
      <c r="D1081" s="116">
        <f ca="1">OFFSET('IWP01'!Std11dot3Billing, 7, 3, 1, 1)</f>
        <v>0</v>
      </c>
      <c r="E1081" s="116">
        <f ca="1">OFFSET('IWP01'!Std11dot3Billing, 7, 5, 1, 1)</f>
        <v>0</v>
      </c>
      <c r="F1081" s="162">
        <f ca="1">OFFSET('IWP01'!Std11dot3Billing, 7, 7, 1, 1)</f>
        <v>0</v>
      </c>
      <c r="G1081" s="116">
        <f ca="1">IF(OFFSET('IWP01'!Std11dot3Billing, 7, 8, 1, 1) = "", 0, OFFSET('IWP01'!Std11dot3Billing, 7, 8, 1, 1))</f>
        <v>0</v>
      </c>
      <c r="H1081" s="108">
        <f ca="1">IF(OFFSET('IWP01'!Std11dot3Billing, 7, 10, 1, 1) =DATE(1900,1,0),DATE(1900,1,1),OFFSET('IWP01'!Std11dot3Billing, 7, 10, 1, 1))</f>
        <v>1</v>
      </c>
      <c r="I1081" s="123">
        <f ca="1">IF(OFFSET('IWP01'!Std11dot3Billing, 7, 12, 1, 1) =DATE(1900,1,0),DATE(1900,1,1),OFFSET('IWP01'!Std11dot3Billing, 7, 12, 1, 1))</f>
        <v>1</v>
      </c>
    </row>
    <row r="1082" spans="1:9">
      <c r="A1082" s="160" t="s">
        <v>747</v>
      </c>
      <c r="B1082" s="108">
        <f ca="1">IF(OFFSET('IWP01'!Std11dot3Billing, 8, 0, 1, 1) =DATE(1900,1,0),DATE(1900,1,1),OFFSET('IWP01'!Std11dot3Billing, 8, 0, 1, 1))</f>
        <v>1</v>
      </c>
      <c r="C1082" s="162">
        <f ca="1">OFFSET('IWP01'!Std11dot3Billing, 8, 2, 1, 1)</f>
        <v>0</v>
      </c>
      <c r="D1082" s="116">
        <f ca="1">OFFSET('IWP01'!Std11dot3Billing, 8, 3, 1, 1)</f>
        <v>0</v>
      </c>
      <c r="E1082" s="116">
        <f ca="1">OFFSET('IWP01'!Std11dot3Billing, 8, 5, 1, 1)</f>
        <v>0</v>
      </c>
      <c r="F1082" s="162">
        <f ca="1">OFFSET('IWP01'!Std11dot3Billing, 8, 7, 1, 1)</f>
        <v>0</v>
      </c>
      <c r="G1082" s="116">
        <f ca="1">IF(OFFSET('IWP01'!Std11dot3Billing, 8, 8, 1, 1) = "", 0, OFFSET('IWP01'!Std11dot3Billing, 8, 8, 1, 1))</f>
        <v>0</v>
      </c>
      <c r="H1082" s="108">
        <f ca="1">IF(OFFSET('IWP01'!Std11dot3Billing, 8, 10, 1, 1) =DATE(1900,1,0),DATE(1900,1,1),OFFSET('IWP01'!Std11dot3Billing, 8, 10, 1, 1))</f>
        <v>1</v>
      </c>
      <c r="I1082" s="123">
        <f ca="1">IF(OFFSET('IWP01'!Std11dot3Billing, 8, 12, 1, 1) =DATE(1900,1,0),DATE(1900,1,1),OFFSET('IWP01'!Std11dot3Billing, 8, 12, 1, 1))</f>
        <v>1</v>
      </c>
    </row>
    <row r="1083" spans="1:9">
      <c r="A1083" s="160" t="s">
        <v>747</v>
      </c>
      <c r="B1083" s="108">
        <f ca="1">IF(OFFSET('IWP01'!Std11dot3Billing, 9, 0, 1, 1) =DATE(1900,1,0),DATE(1900,1,1),OFFSET('IWP01'!Std11dot3Billing, 9, 0, 1, 1))</f>
        <v>1</v>
      </c>
      <c r="C1083" s="162">
        <f ca="1">OFFSET('IWP01'!Std11dot3Billing, 9, 2, 1, 1)</f>
        <v>0</v>
      </c>
      <c r="D1083" s="116">
        <f ca="1">OFFSET('IWP01'!Std11dot3Billing, 9, 3, 1, 1)</f>
        <v>0</v>
      </c>
      <c r="E1083" s="116">
        <f ca="1">OFFSET('IWP01'!Std11dot3Billing, 9, 5, 1, 1)</f>
        <v>0</v>
      </c>
      <c r="F1083" s="162">
        <f ca="1">OFFSET('IWP01'!Std11dot3Billing, 9, 7, 1, 1)</f>
        <v>0</v>
      </c>
      <c r="G1083" s="116">
        <f ca="1">IF(OFFSET('IWP01'!Std11dot3Billing, 9, 8, 1, 1) = "", 0, OFFSET('IWP01'!Std11dot3Billing, 9, 8, 1, 1))</f>
        <v>0</v>
      </c>
      <c r="H1083" s="108">
        <f ca="1">IF(OFFSET('IWP01'!Std11dot3Billing, 9, 10, 1, 1) =DATE(1900,1,0),DATE(1900,1,1),OFFSET('IWP01'!Std11dot3Billing, 9, 10, 1, 1))</f>
        <v>1</v>
      </c>
      <c r="I1083" s="123">
        <f ca="1">IF(OFFSET('IWP01'!Std11dot3Billing, 9, 12, 1, 1) =DATE(1900,1,0),DATE(1900,1,1),OFFSET('IWP01'!Std11dot3Billing, 9, 12, 1, 1))</f>
        <v>1</v>
      </c>
    </row>
    <row r="1084" spans="1:9">
      <c r="A1084" s="160" t="s">
        <v>748</v>
      </c>
      <c r="B1084" s="108">
        <f ca="1">IF(OFFSET('IWP02'!Std11dot3Billing, 0, 0, 1, 1) =DATE(1900,1,0),DATE(1900,1,1),OFFSET('IWP02'!Std11dot3Billing, 0, 0, 1, 1))</f>
        <v>1</v>
      </c>
      <c r="C1084" s="162">
        <f ca="1">OFFSET('IWP02'!Std11dot3Billing, 0, 2, 1, 1)</f>
        <v>0</v>
      </c>
      <c r="D1084" s="116">
        <f ca="1">OFFSET('IWP02'!Std11dot3Billing, 0, 3, 1, 1)</f>
        <v>0</v>
      </c>
      <c r="E1084" s="116">
        <f ca="1">OFFSET('IWP02'!Std11dot3Billing, 0, 5, 1, 1)</f>
        <v>0</v>
      </c>
      <c r="F1084" s="162">
        <f ca="1">OFFSET('IWP02'!Std11dot3Billing, 0, 7, 1, 1)</f>
        <v>0</v>
      </c>
      <c r="G1084" s="116">
        <f ca="1">IF(OFFSET('IWP02'!Std11dot3Billing, 0, 8, 1, 1) = "", 0, OFFSET('IWP02'!Std11dot3Billing, 0, 8, 1, 1))</f>
        <v>0</v>
      </c>
      <c r="H1084" s="108">
        <f ca="1">IF(OFFSET('IWP02'!Std11dot3Billing, 0, 10, 1, 1) =DATE(1900,1,0),DATE(1900,1,1),OFFSET('IWP02'!Std11dot3Billing, 0, 10, 1, 1))</f>
        <v>1</v>
      </c>
      <c r="I1084" s="123">
        <f ca="1">IF(OFFSET('IWP02'!Std11dot3Billing, 0, 12, 1, 1) =DATE(1900,1,0),DATE(1900,1,1),OFFSET('IWP02'!Std11dot3Billing, 0, 12, 1, 1))</f>
        <v>1</v>
      </c>
    </row>
    <row r="1085" spans="1:9">
      <c r="A1085" s="160" t="s">
        <v>748</v>
      </c>
      <c r="B1085" s="108">
        <f ca="1">IF(OFFSET('IWP02'!Std11dot3Billing, 1, 0, 1, 1) =DATE(1900,1,0),DATE(1900,1,1),OFFSET('IWP02'!Std11dot3Billing, 1, 0, 1, 1))</f>
        <v>1</v>
      </c>
      <c r="C1085" s="162">
        <f ca="1">OFFSET('IWP02'!Std11dot3Billing, 1, 2, 1, 1)</f>
        <v>0</v>
      </c>
      <c r="D1085" s="116">
        <f ca="1">OFFSET('IWP02'!Std11dot3Billing, 1, 3, 1, 1)</f>
        <v>0</v>
      </c>
      <c r="E1085" s="116">
        <f ca="1">OFFSET('IWP02'!Std11dot3Billing, 1, 5, 1, 1)</f>
        <v>0</v>
      </c>
      <c r="F1085" s="162">
        <f ca="1">OFFSET('IWP02'!Std11dot3Billing, 1, 7, 1, 1)</f>
        <v>0</v>
      </c>
      <c r="G1085" s="116">
        <f ca="1">IF(OFFSET('IWP02'!Std11dot3Billing, 1, 8, 1, 1) = "", 0, OFFSET('IWP02'!Std11dot3Billing, 1, 8, 1, 1))</f>
        <v>0</v>
      </c>
      <c r="H1085" s="108">
        <f ca="1">IF(OFFSET('IWP02'!Std11dot3Billing, 1, 10, 1, 1) =DATE(1900,1,0),DATE(1900,1,1),OFFSET('IWP02'!Std11dot3Billing, 1, 10, 1, 1))</f>
        <v>1</v>
      </c>
      <c r="I1085" s="123">
        <f ca="1">IF(OFFSET('IWP02'!Std11dot3Billing, 1, 12, 1, 1) =DATE(1900,1,0),DATE(1900,1,1),OFFSET('IWP02'!Std11dot3Billing, 1, 12, 1, 1))</f>
        <v>1</v>
      </c>
    </row>
    <row r="1086" spans="1:9">
      <c r="A1086" s="160" t="s">
        <v>748</v>
      </c>
      <c r="B1086" s="108">
        <f ca="1">IF(OFFSET('IWP02'!Std11dot3Billing, 2, 0, 1, 1) =DATE(1900,1,0),DATE(1900,1,1),OFFSET('IWP02'!Std11dot3Billing, 2, 0, 1, 1))</f>
        <v>1</v>
      </c>
      <c r="C1086" s="162">
        <f ca="1">OFFSET('IWP02'!Std11dot3Billing, 2, 2, 1, 1)</f>
        <v>0</v>
      </c>
      <c r="D1086" s="116">
        <f ca="1">OFFSET('IWP02'!Std11dot3Billing, 2, 3, 1, 1)</f>
        <v>0</v>
      </c>
      <c r="E1086" s="116">
        <f ca="1">OFFSET('IWP02'!Std11dot3Billing, 2, 5, 1, 1)</f>
        <v>0</v>
      </c>
      <c r="F1086" s="162">
        <f ca="1">OFFSET('IWP02'!Std11dot3Billing, 2, 7, 1, 1)</f>
        <v>0</v>
      </c>
      <c r="G1086" s="116">
        <f ca="1">IF(OFFSET('IWP02'!Std11dot3Billing, 2, 8, 1, 1) = "", 0, OFFSET('IWP02'!Std11dot3Billing, 2, 8, 1, 1))</f>
        <v>0</v>
      </c>
      <c r="H1086" s="108">
        <f ca="1">IF(OFFSET('IWP02'!Std11dot3Billing, 2, 10, 1, 1) =DATE(1900,1,0),DATE(1900,1,1),OFFSET('IWP02'!Std11dot3Billing, 2, 10, 1, 1))</f>
        <v>1</v>
      </c>
      <c r="I1086" s="123">
        <f ca="1">IF(OFFSET('IWP02'!Std11dot3Billing, 2, 12, 1, 1) =DATE(1900,1,0),DATE(1900,1,1),OFFSET('IWP02'!Std11dot3Billing, 2, 12, 1, 1))</f>
        <v>1</v>
      </c>
    </row>
    <row r="1087" spans="1:9">
      <c r="A1087" s="160" t="s">
        <v>748</v>
      </c>
      <c r="B1087" s="108">
        <f ca="1">IF(OFFSET('IWP02'!Std11dot3Billing, 3, 0, 1, 1) =DATE(1900,1,0),DATE(1900,1,1),OFFSET('IWP02'!Std11dot3Billing, 3, 0, 1, 1))</f>
        <v>1</v>
      </c>
      <c r="C1087" s="162">
        <f ca="1">OFFSET('IWP02'!Std11dot3Billing, 3, 2, 1, 1)</f>
        <v>0</v>
      </c>
      <c r="D1087" s="116">
        <f ca="1">OFFSET('IWP02'!Std11dot3Billing, 3, 3, 1, 1)</f>
        <v>0</v>
      </c>
      <c r="E1087" s="116">
        <f ca="1">OFFSET('IWP02'!Std11dot3Billing, 3, 5, 1, 1)</f>
        <v>0</v>
      </c>
      <c r="F1087" s="162">
        <f ca="1">OFFSET('IWP02'!Std11dot3Billing, 3, 7, 1, 1)</f>
        <v>0</v>
      </c>
      <c r="G1087" s="116">
        <f ca="1">IF(OFFSET('IWP02'!Std11dot3Billing, 3, 8, 1, 1) = "", 0, OFFSET('IWP02'!Std11dot3Billing, 3, 8, 1, 1))</f>
        <v>0</v>
      </c>
      <c r="H1087" s="108">
        <f ca="1">IF(OFFSET('IWP02'!Std11dot3Billing, 3, 10, 1, 1) =DATE(1900,1,0),DATE(1900,1,1),OFFSET('IWP02'!Std11dot3Billing, 3, 10, 1, 1))</f>
        <v>1</v>
      </c>
      <c r="I1087" s="123">
        <f ca="1">IF(OFFSET('IWP02'!Std11dot3Billing, 3, 12, 1, 1) =DATE(1900,1,0),DATE(1900,1,1),OFFSET('IWP02'!Std11dot3Billing, 3, 12, 1, 1))</f>
        <v>1</v>
      </c>
    </row>
    <row r="1088" spans="1:9">
      <c r="A1088" s="160" t="s">
        <v>748</v>
      </c>
      <c r="B1088" s="108">
        <f ca="1">IF(OFFSET('IWP02'!Std11dot3Billing, 4, 0, 1, 1) =DATE(1900,1,0),DATE(1900,1,1),OFFSET('IWP02'!Std11dot3Billing, 4, 0, 1, 1))</f>
        <v>1</v>
      </c>
      <c r="C1088" s="162">
        <f ca="1">OFFSET('IWP02'!Std11dot3Billing, 4, 2, 1, 1)</f>
        <v>0</v>
      </c>
      <c r="D1088" s="116">
        <f ca="1">OFFSET('IWP02'!Std11dot3Billing, 4, 3, 1, 1)</f>
        <v>0</v>
      </c>
      <c r="E1088" s="116">
        <f ca="1">OFFSET('IWP02'!Std11dot3Billing, 4, 5, 1, 1)</f>
        <v>0</v>
      </c>
      <c r="F1088" s="162">
        <f ca="1">OFFSET('IWP02'!Std11dot3Billing, 4, 7, 1, 1)</f>
        <v>0</v>
      </c>
      <c r="G1088" s="116">
        <f ca="1">IF(OFFSET('IWP02'!Std11dot3Billing, 4, 8, 1, 1) = "", 0, OFFSET('IWP02'!Std11dot3Billing, 4, 8, 1, 1))</f>
        <v>0</v>
      </c>
      <c r="H1088" s="108">
        <f ca="1">IF(OFFSET('IWP02'!Std11dot3Billing, 4, 10, 1, 1) =DATE(1900,1,0),DATE(1900,1,1),OFFSET('IWP02'!Std11dot3Billing, 4, 10, 1, 1))</f>
        <v>1</v>
      </c>
      <c r="I1088" s="123">
        <f ca="1">IF(OFFSET('IWP02'!Std11dot3Billing, 4, 12, 1, 1) =DATE(1900,1,0),DATE(1900,1,1),OFFSET('IWP02'!Std11dot3Billing, 4, 12, 1, 1))</f>
        <v>1</v>
      </c>
    </row>
    <row r="1089" spans="1:9">
      <c r="A1089" s="160" t="s">
        <v>748</v>
      </c>
      <c r="B1089" s="108">
        <f ca="1">IF(OFFSET('IWP02'!Std11dot3Billing, 5, 0, 1, 1) =DATE(1900,1,0),DATE(1900,1,1),OFFSET('IWP02'!Std11dot3Billing, 5, 0, 1, 1))</f>
        <v>1</v>
      </c>
      <c r="C1089" s="162">
        <f ca="1">OFFSET('IWP02'!Std11dot3Billing, 5, 2, 1, 1)</f>
        <v>0</v>
      </c>
      <c r="D1089" s="116">
        <f ca="1">OFFSET('IWP02'!Std11dot3Billing, 5, 3, 1, 1)</f>
        <v>0</v>
      </c>
      <c r="E1089" s="116">
        <f ca="1">OFFSET('IWP02'!Std11dot3Billing, 5, 5, 1, 1)</f>
        <v>0</v>
      </c>
      <c r="F1089" s="162">
        <f ca="1">OFFSET('IWP02'!Std11dot3Billing, 5, 7, 1, 1)</f>
        <v>0</v>
      </c>
      <c r="G1089" s="116">
        <f ca="1">IF(OFFSET('IWP02'!Std11dot3Billing, 5, 8, 1, 1) = "", 0, OFFSET('IWP02'!Std11dot3Billing, 5, 8, 1, 1))</f>
        <v>0</v>
      </c>
      <c r="H1089" s="108">
        <f ca="1">IF(OFFSET('IWP02'!Std11dot3Billing, 5, 10, 1, 1) =DATE(1900,1,0),DATE(1900,1,1),OFFSET('IWP02'!Std11dot3Billing, 5, 10, 1, 1))</f>
        <v>1</v>
      </c>
      <c r="I1089" s="123">
        <f ca="1">IF(OFFSET('IWP02'!Std11dot3Billing, 5, 12, 1, 1) =DATE(1900,1,0),DATE(1900,1,1),OFFSET('IWP02'!Std11dot3Billing, 5, 12, 1, 1))</f>
        <v>1</v>
      </c>
    </row>
    <row r="1090" spans="1:9">
      <c r="A1090" s="160" t="s">
        <v>748</v>
      </c>
      <c r="B1090" s="108">
        <f ca="1">IF(OFFSET('IWP02'!Std11dot3Billing, 6, 0, 1, 1) =DATE(1900,1,0),DATE(1900,1,1),OFFSET('IWP02'!Std11dot3Billing, 6, 0, 1, 1))</f>
        <v>1</v>
      </c>
      <c r="C1090" s="162">
        <f ca="1">OFFSET('IWP02'!Std11dot3Billing, 6, 2, 1, 1)</f>
        <v>0</v>
      </c>
      <c r="D1090" s="116">
        <f ca="1">OFFSET('IWP02'!Std11dot3Billing, 6, 3, 1, 1)</f>
        <v>0</v>
      </c>
      <c r="E1090" s="116">
        <f ca="1">OFFSET('IWP02'!Std11dot3Billing, 6, 5, 1, 1)</f>
        <v>0</v>
      </c>
      <c r="F1090" s="162">
        <f ca="1">OFFSET('IWP02'!Std11dot3Billing, 6, 7, 1, 1)</f>
        <v>0</v>
      </c>
      <c r="G1090" s="116">
        <f ca="1">IF(OFFSET('IWP02'!Std11dot3Billing, 6, 8, 1, 1) = "", 0, OFFSET('IWP02'!Std11dot3Billing, 6, 8, 1, 1))</f>
        <v>0</v>
      </c>
      <c r="H1090" s="108">
        <f ca="1">IF(OFFSET('IWP02'!Std11dot3Billing, 6, 10, 1, 1) =DATE(1900,1,0),DATE(1900,1,1),OFFSET('IWP02'!Std11dot3Billing, 6, 10, 1, 1))</f>
        <v>1</v>
      </c>
      <c r="I1090" s="123">
        <f ca="1">IF(OFFSET('IWP02'!Std11dot3Billing, 6, 12, 1, 1) =DATE(1900,1,0),DATE(1900,1,1),OFFSET('IWP02'!Std11dot3Billing, 6, 12, 1, 1))</f>
        <v>1</v>
      </c>
    </row>
    <row r="1091" spans="1:9">
      <c r="A1091" s="160" t="s">
        <v>748</v>
      </c>
      <c r="B1091" s="108">
        <f ca="1">IF(OFFSET('IWP02'!Std11dot3Billing, 7, 0, 1, 1) =DATE(1900,1,0),DATE(1900,1,1),OFFSET('IWP02'!Std11dot3Billing, 7, 0, 1, 1))</f>
        <v>1</v>
      </c>
      <c r="C1091" s="162">
        <f ca="1">OFFSET('IWP02'!Std11dot3Billing, 7, 2, 1, 1)</f>
        <v>0</v>
      </c>
      <c r="D1091" s="116">
        <f ca="1">OFFSET('IWP02'!Std11dot3Billing, 7, 3, 1, 1)</f>
        <v>0</v>
      </c>
      <c r="E1091" s="116">
        <f ca="1">OFFSET('IWP02'!Std11dot3Billing, 7, 5, 1, 1)</f>
        <v>0</v>
      </c>
      <c r="F1091" s="162">
        <f ca="1">OFFSET('IWP02'!Std11dot3Billing, 7, 7, 1, 1)</f>
        <v>0</v>
      </c>
      <c r="G1091" s="116">
        <f ca="1">IF(OFFSET('IWP02'!Std11dot3Billing, 7, 8, 1, 1) = "", 0, OFFSET('IWP02'!Std11dot3Billing, 7, 8, 1, 1))</f>
        <v>0</v>
      </c>
      <c r="H1091" s="108">
        <f ca="1">IF(OFFSET('IWP02'!Std11dot3Billing, 7, 10, 1, 1) =DATE(1900,1,0),DATE(1900,1,1),OFFSET('IWP02'!Std11dot3Billing, 7, 10, 1, 1))</f>
        <v>1</v>
      </c>
      <c r="I1091" s="123">
        <f ca="1">IF(OFFSET('IWP02'!Std11dot3Billing, 7, 12, 1, 1) =DATE(1900,1,0),DATE(1900,1,1),OFFSET('IWP02'!Std11dot3Billing, 7, 12, 1, 1))</f>
        <v>1</v>
      </c>
    </row>
    <row r="1092" spans="1:9">
      <c r="A1092" s="160" t="s">
        <v>748</v>
      </c>
      <c r="B1092" s="108">
        <f ca="1">IF(OFFSET('IWP02'!Std11dot3Billing, 8, 0, 1, 1) =DATE(1900,1,0),DATE(1900,1,1),OFFSET('IWP02'!Std11dot3Billing, 8, 0, 1, 1))</f>
        <v>1</v>
      </c>
      <c r="C1092" s="162">
        <f ca="1">OFFSET('IWP02'!Std11dot3Billing, 8, 2, 1, 1)</f>
        <v>0</v>
      </c>
      <c r="D1092" s="116">
        <f ca="1">OFFSET('IWP02'!Std11dot3Billing, 8, 3, 1, 1)</f>
        <v>0</v>
      </c>
      <c r="E1092" s="116">
        <f ca="1">OFFSET('IWP02'!Std11dot3Billing, 8, 5, 1, 1)</f>
        <v>0</v>
      </c>
      <c r="F1092" s="162">
        <f ca="1">OFFSET('IWP02'!Std11dot3Billing, 8, 7, 1, 1)</f>
        <v>0</v>
      </c>
      <c r="G1092" s="116">
        <f ca="1">IF(OFFSET('IWP02'!Std11dot3Billing, 8, 8, 1, 1) = "", 0, OFFSET('IWP02'!Std11dot3Billing, 8, 8, 1, 1))</f>
        <v>0</v>
      </c>
      <c r="H1092" s="108">
        <f ca="1">IF(OFFSET('IWP02'!Std11dot3Billing, 8, 10, 1, 1) =DATE(1900,1,0),DATE(1900,1,1),OFFSET('IWP02'!Std11dot3Billing, 8, 10, 1, 1))</f>
        <v>1</v>
      </c>
      <c r="I1092" s="123">
        <f ca="1">IF(OFFSET('IWP02'!Std11dot3Billing, 8, 12, 1, 1) =DATE(1900,1,0),DATE(1900,1,1),OFFSET('IWP02'!Std11dot3Billing, 8, 12, 1, 1))</f>
        <v>1</v>
      </c>
    </row>
    <row r="1093" spans="1:9">
      <c r="A1093" s="160" t="s">
        <v>748</v>
      </c>
      <c r="B1093" s="108">
        <f ca="1">IF(OFFSET('IWP02'!Std11dot3Billing, 9, 0, 1, 1) =DATE(1900,1,0),DATE(1900,1,1),OFFSET('IWP02'!Std11dot3Billing, 9, 0, 1, 1))</f>
        <v>1</v>
      </c>
      <c r="C1093" s="162">
        <f ca="1">OFFSET('IWP02'!Std11dot3Billing, 9, 2, 1, 1)</f>
        <v>0</v>
      </c>
      <c r="D1093" s="116">
        <f ca="1">OFFSET('IWP02'!Std11dot3Billing, 9, 3, 1, 1)</f>
        <v>0</v>
      </c>
      <c r="E1093" s="116">
        <f ca="1">OFFSET('IWP02'!Std11dot3Billing, 9, 5, 1, 1)</f>
        <v>0</v>
      </c>
      <c r="F1093" s="162">
        <f ca="1">OFFSET('IWP02'!Std11dot3Billing, 9, 7, 1, 1)</f>
        <v>0</v>
      </c>
      <c r="G1093" s="116">
        <f ca="1">IF(OFFSET('IWP02'!Std11dot3Billing, 9, 8, 1, 1) = "", 0, OFFSET('IWP02'!Std11dot3Billing, 9, 8, 1, 1))</f>
        <v>0</v>
      </c>
      <c r="H1093" s="108">
        <f ca="1">IF(OFFSET('IWP02'!Std11dot3Billing, 9, 10, 1, 1) =DATE(1900,1,0),DATE(1900,1,1),OFFSET('IWP02'!Std11dot3Billing, 9, 10, 1, 1))</f>
        <v>1</v>
      </c>
      <c r="I1093" s="123">
        <f ca="1">IF(OFFSET('IWP02'!Std11dot3Billing, 9, 12, 1, 1) =DATE(1900,1,0),DATE(1900,1,1),OFFSET('IWP02'!Std11dot3Billing, 9, 12, 1, 1))</f>
        <v>1</v>
      </c>
    </row>
    <row r="1094" spans="1:9">
      <c r="A1094" s="160" t="s">
        <v>749</v>
      </c>
      <c r="B1094" s="108">
        <f ca="1">IF(OFFSET('IWP03'!Std11dot3Billing, 0, 0, 1, 1) =DATE(1900,1,0),DATE(1900,1,1),OFFSET('IWP03'!Std11dot3Billing, 0, 0, 1, 1))</f>
        <v>1</v>
      </c>
      <c r="C1094" s="162">
        <f ca="1">OFFSET('IWP03'!Std11dot3Billing, 0, 2, 1, 1)</f>
        <v>0</v>
      </c>
      <c r="D1094" s="116">
        <f ca="1">OFFSET('IWP03'!Std11dot3Billing, 0, 3, 1, 1)</f>
        <v>0</v>
      </c>
      <c r="E1094" s="116">
        <f ca="1">OFFSET('IWP03'!Std11dot3Billing, 0, 5, 1, 1)</f>
        <v>0</v>
      </c>
      <c r="F1094" s="162">
        <f ca="1">OFFSET('IWP03'!Std11dot3Billing, 0, 7, 1, 1)</f>
        <v>0</v>
      </c>
      <c r="G1094" s="116">
        <f ca="1">IF(OFFSET('IWP03'!Std11dot3Billing, 0, 8, 1, 1) = "", 0, OFFSET('IWP03'!Std11dot3Billing, 0, 8, 1, 1))</f>
        <v>0</v>
      </c>
      <c r="H1094" s="108">
        <f ca="1">IF(OFFSET('IWP03'!Std11dot3Billing, 0, 10, 1, 1) =DATE(1900,1,0),DATE(1900,1,1),OFFSET('IWP03'!Std11dot3Billing, 0, 10, 1, 1))</f>
        <v>1</v>
      </c>
      <c r="I1094" s="123">
        <f ca="1">IF(OFFSET('IWP03'!Std11dot3Billing, 0, 12, 1, 1) =DATE(1900,1,0),DATE(1900,1,1),OFFSET('IWP03'!Std11dot3Billing, 0, 12, 1, 1))</f>
        <v>1</v>
      </c>
    </row>
    <row r="1095" spans="1:9">
      <c r="A1095" s="160" t="s">
        <v>749</v>
      </c>
      <c r="B1095" s="108">
        <f ca="1">IF(OFFSET('IWP03'!Std11dot3Billing, 1, 0, 1, 1) =DATE(1900,1,0),DATE(1900,1,1),OFFSET('IWP03'!Std11dot3Billing, 1, 0, 1, 1))</f>
        <v>1</v>
      </c>
      <c r="C1095" s="162">
        <f ca="1">OFFSET('IWP03'!Std11dot3Billing, 1, 2, 1, 1)</f>
        <v>0</v>
      </c>
      <c r="D1095" s="116">
        <f ca="1">OFFSET('IWP03'!Std11dot3Billing, 1, 3, 1, 1)</f>
        <v>0</v>
      </c>
      <c r="E1095" s="116">
        <f ca="1">OFFSET('IWP03'!Std11dot3Billing, 1, 5, 1, 1)</f>
        <v>0</v>
      </c>
      <c r="F1095" s="162">
        <f ca="1">OFFSET('IWP03'!Std11dot3Billing, 1, 7, 1, 1)</f>
        <v>0</v>
      </c>
      <c r="G1095" s="116">
        <f ca="1">IF(OFFSET('IWP03'!Std11dot3Billing, 1, 8, 1, 1) = "", 0, OFFSET('IWP03'!Std11dot3Billing, 1, 8, 1, 1))</f>
        <v>0</v>
      </c>
      <c r="H1095" s="108">
        <f ca="1">IF(OFFSET('IWP03'!Std11dot3Billing, 1, 10, 1, 1) =DATE(1900,1,0),DATE(1900,1,1),OFFSET('IWP03'!Std11dot3Billing, 1, 10, 1, 1))</f>
        <v>1</v>
      </c>
      <c r="I1095" s="123">
        <f ca="1">IF(OFFSET('IWP03'!Std11dot3Billing, 1, 12, 1, 1) =DATE(1900,1,0),DATE(1900,1,1),OFFSET('IWP03'!Std11dot3Billing, 1, 12, 1, 1))</f>
        <v>1</v>
      </c>
    </row>
    <row r="1096" spans="1:9">
      <c r="A1096" s="160" t="s">
        <v>749</v>
      </c>
      <c r="B1096" s="108">
        <f ca="1">IF(OFFSET('IWP03'!Std11dot3Billing, 2, 0, 1, 1) =DATE(1900,1,0),DATE(1900,1,1),OFFSET('IWP03'!Std11dot3Billing, 2, 0, 1, 1))</f>
        <v>1</v>
      </c>
      <c r="C1096" s="162">
        <f ca="1">OFFSET('IWP03'!Std11dot3Billing, 2, 2, 1, 1)</f>
        <v>0</v>
      </c>
      <c r="D1096" s="116">
        <f ca="1">OFFSET('IWP03'!Std11dot3Billing, 2, 3, 1, 1)</f>
        <v>0</v>
      </c>
      <c r="E1096" s="116">
        <f ca="1">OFFSET('IWP03'!Std11dot3Billing, 2, 5, 1, 1)</f>
        <v>0</v>
      </c>
      <c r="F1096" s="162">
        <f ca="1">OFFSET('IWP03'!Std11dot3Billing, 2, 7, 1, 1)</f>
        <v>0</v>
      </c>
      <c r="G1096" s="116">
        <f ca="1">IF(OFFSET('IWP03'!Std11dot3Billing, 2, 8, 1, 1) = "", 0, OFFSET('IWP03'!Std11dot3Billing, 2, 8, 1, 1))</f>
        <v>0</v>
      </c>
      <c r="H1096" s="108">
        <f ca="1">IF(OFFSET('IWP03'!Std11dot3Billing, 2, 10, 1, 1) =DATE(1900,1,0),DATE(1900,1,1),OFFSET('IWP03'!Std11dot3Billing, 2, 10, 1, 1))</f>
        <v>1</v>
      </c>
      <c r="I1096" s="123">
        <f ca="1">IF(OFFSET('IWP03'!Std11dot3Billing, 2, 12, 1, 1) =DATE(1900,1,0),DATE(1900,1,1),OFFSET('IWP03'!Std11dot3Billing, 2, 12, 1, 1))</f>
        <v>1</v>
      </c>
    </row>
    <row r="1097" spans="1:9">
      <c r="A1097" s="160" t="s">
        <v>749</v>
      </c>
      <c r="B1097" s="108">
        <f ca="1">IF(OFFSET('IWP03'!Std11dot3Billing, 3, 0, 1, 1) =DATE(1900,1,0),DATE(1900,1,1),OFFSET('IWP03'!Std11dot3Billing, 3, 0, 1, 1))</f>
        <v>1</v>
      </c>
      <c r="C1097" s="162">
        <f ca="1">OFFSET('IWP03'!Std11dot3Billing, 3, 2, 1, 1)</f>
        <v>0</v>
      </c>
      <c r="D1097" s="116">
        <f ca="1">OFFSET('IWP03'!Std11dot3Billing, 3, 3, 1, 1)</f>
        <v>0</v>
      </c>
      <c r="E1097" s="116">
        <f ca="1">OFFSET('IWP03'!Std11dot3Billing, 3, 5, 1, 1)</f>
        <v>0</v>
      </c>
      <c r="F1097" s="162">
        <f ca="1">OFFSET('IWP03'!Std11dot3Billing, 3, 7, 1, 1)</f>
        <v>0</v>
      </c>
      <c r="G1097" s="116">
        <f ca="1">IF(OFFSET('IWP03'!Std11dot3Billing, 3, 8, 1, 1) = "", 0, OFFSET('IWP03'!Std11dot3Billing, 3, 8, 1, 1))</f>
        <v>0</v>
      </c>
      <c r="H1097" s="108">
        <f ca="1">IF(OFFSET('IWP03'!Std11dot3Billing, 3, 10, 1, 1) =DATE(1900,1,0),DATE(1900,1,1),OFFSET('IWP03'!Std11dot3Billing, 3, 10, 1, 1))</f>
        <v>1</v>
      </c>
      <c r="I1097" s="123">
        <f ca="1">IF(OFFSET('IWP03'!Std11dot3Billing, 3, 12, 1, 1) =DATE(1900,1,0),DATE(1900,1,1),OFFSET('IWP03'!Std11dot3Billing, 3, 12, 1, 1))</f>
        <v>1</v>
      </c>
    </row>
    <row r="1098" spans="1:9">
      <c r="A1098" s="160" t="s">
        <v>749</v>
      </c>
      <c r="B1098" s="108">
        <f ca="1">IF(OFFSET('IWP03'!Std11dot3Billing, 4, 0, 1, 1) =DATE(1900,1,0),DATE(1900,1,1),OFFSET('IWP03'!Std11dot3Billing, 4, 0, 1, 1))</f>
        <v>1</v>
      </c>
      <c r="C1098" s="162">
        <f ca="1">OFFSET('IWP03'!Std11dot3Billing, 4, 2, 1, 1)</f>
        <v>0</v>
      </c>
      <c r="D1098" s="116">
        <f ca="1">OFFSET('IWP03'!Std11dot3Billing, 4, 3, 1, 1)</f>
        <v>0</v>
      </c>
      <c r="E1098" s="116">
        <f ca="1">OFFSET('IWP03'!Std11dot3Billing, 4, 5, 1, 1)</f>
        <v>0</v>
      </c>
      <c r="F1098" s="162">
        <f ca="1">OFFSET('IWP03'!Std11dot3Billing, 4, 7, 1, 1)</f>
        <v>0</v>
      </c>
      <c r="G1098" s="116">
        <f ca="1">IF(OFFSET('IWP03'!Std11dot3Billing, 4, 8, 1, 1) = "", 0, OFFSET('IWP03'!Std11dot3Billing, 4, 8, 1, 1))</f>
        <v>0</v>
      </c>
      <c r="H1098" s="108">
        <f ca="1">IF(OFFSET('IWP03'!Std11dot3Billing, 4, 10, 1, 1) =DATE(1900,1,0),DATE(1900,1,1),OFFSET('IWP03'!Std11dot3Billing, 4, 10, 1, 1))</f>
        <v>1</v>
      </c>
      <c r="I1098" s="123">
        <f ca="1">IF(OFFSET('IWP03'!Std11dot3Billing, 4, 12, 1, 1) =DATE(1900,1,0),DATE(1900,1,1),OFFSET('IWP03'!Std11dot3Billing, 4, 12, 1, 1))</f>
        <v>1</v>
      </c>
    </row>
    <row r="1099" spans="1:9">
      <c r="A1099" s="160" t="s">
        <v>749</v>
      </c>
      <c r="B1099" s="108">
        <f ca="1">IF(OFFSET('IWP03'!Std11dot3Billing, 5, 0, 1, 1) =DATE(1900,1,0),DATE(1900,1,1),OFFSET('IWP03'!Std11dot3Billing, 5, 0, 1, 1))</f>
        <v>1</v>
      </c>
      <c r="C1099" s="162">
        <f ca="1">OFFSET('IWP03'!Std11dot3Billing, 5, 2, 1, 1)</f>
        <v>0</v>
      </c>
      <c r="D1099" s="116">
        <f ca="1">OFFSET('IWP03'!Std11dot3Billing, 5, 3, 1, 1)</f>
        <v>0</v>
      </c>
      <c r="E1099" s="116">
        <f ca="1">OFFSET('IWP03'!Std11dot3Billing, 5, 5, 1, 1)</f>
        <v>0</v>
      </c>
      <c r="F1099" s="162">
        <f ca="1">OFFSET('IWP03'!Std11dot3Billing, 5, 7, 1, 1)</f>
        <v>0</v>
      </c>
      <c r="G1099" s="116">
        <f ca="1">IF(OFFSET('IWP03'!Std11dot3Billing, 5, 8, 1, 1) = "", 0, OFFSET('IWP03'!Std11dot3Billing, 5, 8, 1, 1))</f>
        <v>0</v>
      </c>
      <c r="H1099" s="108">
        <f ca="1">IF(OFFSET('IWP03'!Std11dot3Billing, 5, 10, 1, 1) =DATE(1900,1,0),DATE(1900,1,1),OFFSET('IWP03'!Std11dot3Billing, 5, 10, 1, 1))</f>
        <v>1</v>
      </c>
      <c r="I1099" s="123">
        <f ca="1">IF(OFFSET('IWP03'!Std11dot3Billing, 5, 12, 1, 1) =DATE(1900,1,0),DATE(1900,1,1),OFFSET('IWP03'!Std11dot3Billing, 5, 12, 1, 1))</f>
        <v>1</v>
      </c>
    </row>
    <row r="1100" spans="1:9">
      <c r="A1100" s="160" t="s">
        <v>749</v>
      </c>
      <c r="B1100" s="108">
        <f ca="1">IF(OFFSET('IWP03'!Std11dot3Billing, 6, 0, 1, 1) =DATE(1900,1,0),DATE(1900,1,1),OFFSET('IWP03'!Std11dot3Billing, 6, 0, 1, 1))</f>
        <v>1</v>
      </c>
      <c r="C1100" s="162">
        <f ca="1">OFFSET('IWP03'!Std11dot3Billing, 6, 2, 1, 1)</f>
        <v>0</v>
      </c>
      <c r="D1100" s="116">
        <f ca="1">OFFSET('IWP03'!Std11dot3Billing, 6, 3, 1, 1)</f>
        <v>0</v>
      </c>
      <c r="E1100" s="116">
        <f ca="1">OFFSET('IWP03'!Std11dot3Billing, 6, 5, 1, 1)</f>
        <v>0</v>
      </c>
      <c r="F1100" s="162">
        <f ca="1">OFFSET('IWP03'!Std11dot3Billing, 6, 7, 1, 1)</f>
        <v>0</v>
      </c>
      <c r="G1100" s="116">
        <f ca="1">IF(OFFSET('IWP03'!Std11dot3Billing, 6, 8, 1, 1) = "", 0, OFFSET('IWP03'!Std11dot3Billing, 6, 8, 1, 1))</f>
        <v>0</v>
      </c>
      <c r="H1100" s="108">
        <f ca="1">IF(OFFSET('IWP03'!Std11dot3Billing, 6, 10, 1, 1) =DATE(1900,1,0),DATE(1900,1,1),OFFSET('IWP03'!Std11dot3Billing, 6, 10, 1, 1))</f>
        <v>1</v>
      </c>
      <c r="I1100" s="123">
        <f ca="1">IF(OFFSET('IWP03'!Std11dot3Billing, 6, 12, 1, 1) =DATE(1900,1,0),DATE(1900,1,1),OFFSET('IWP03'!Std11dot3Billing, 6, 12, 1, 1))</f>
        <v>1</v>
      </c>
    </row>
    <row r="1101" spans="1:9">
      <c r="A1101" s="160" t="s">
        <v>749</v>
      </c>
      <c r="B1101" s="108">
        <f ca="1">IF(OFFSET('IWP03'!Std11dot3Billing, 7, 0, 1, 1) =DATE(1900,1,0),DATE(1900,1,1),OFFSET('IWP03'!Std11dot3Billing, 7, 0, 1, 1))</f>
        <v>1</v>
      </c>
      <c r="C1101" s="162">
        <f ca="1">OFFSET('IWP03'!Std11dot3Billing, 7, 2, 1, 1)</f>
        <v>0</v>
      </c>
      <c r="D1101" s="116">
        <f ca="1">OFFSET('IWP03'!Std11dot3Billing, 7, 3, 1, 1)</f>
        <v>0</v>
      </c>
      <c r="E1101" s="116">
        <f ca="1">OFFSET('IWP03'!Std11dot3Billing, 7, 5, 1, 1)</f>
        <v>0</v>
      </c>
      <c r="F1101" s="162">
        <f ca="1">OFFSET('IWP03'!Std11dot3Billing, 7, 7, 1, 1)</f>
        <v>0</v>
      </c>
      <c r="G1101" s="116">
        <f ca="1">IF(OFFSET('IWP03'!Std11dot3Billing, 7, 8, 1, 1) = "", 0, OFFSET('IWP03'!Std11dot3Billing, 7, 8, 1, 1))</f>
        <v>0</v>
      </c>
      <c r="H1101" s="108">
        <f ca="1">IF(OFFSET('IWP03'!Std11dot3Billing, 7, 10, 1, 1) =DATE(1900,1,0),DATE(1900,1,1),OFFSET('IWP03'!Std11dot3Billing, 7, 10, 1, 1))</f>
        <v>1</v>
      </c>
      <c r="I1101" s="123">
        <f ca="1">IF(OFFSET('IWP03'!Std11dot3Billing, 7, 12, 1, 1) =DATE(1900,1,0),DATE(1900,1,1),OFFSET('IWP03'!Std11dot3Billing, 7, 12, 1, 1))</f>
        <v>1</v>
      </c>
    </row>
    <row r="1102" spans="1:9">
      <c r="A1102" s="160" t="s">
        <v>749</v>
      </c>
      <c r="B1102" s="108">
        <f ca="1">IF(OFFSET('IWP03'!Std11dot3Billing, 8, 0, 1, 1) =DATE(1900,1,0),DATE(1900,1,1),OFFSET('IWP03'!Std11dot3Billing, 8, 0, 1, 1))</f>
        <v>1</v>
      </c>
      <c r="C1102" s="162">
        <f ca="1">OFFSET('IWP03'!Std11dot3Billing, 8, 2, 1, 1)</f>
        <v>0</v>
      </c>
      <c r="D1102" s="116">
        <f ca="1">OFFSET('IWP03'!Std11dot3Billing, 8, 3, 1, 1)</f>
        <v>0</v>
      </c>
      <c r="E1102" s="116">
        <f ca="1">OFFSET('IWP03'!Std11dot3Billing, 8, 5, 1, 1)</f>
        <v>0</v>
      </c>
      <c r="F1102" s="162">
        <f ca="1">OFFSET('IWP03'!Std11dot3Billing, 8, 7, 1, 1)</f>
        <v>0</v>
      </c>
      <c r="G1102" s="116">
        <f ca="1">IF(OFFSET('IWP03'!Std11dot3Billing, 8, 8, 1, 1) = "", 0, OFFSET('IWP03'!Std11dot3Billing, 8, 8, 1, 1))</f>
        <v>0</v>
      </c>
      <c r="H1102" s="108">
        <f ca="1">IF(OFFSET('IWP03'!Std11dot3Billing, 8, 10, 1, 1) =DATE(1900,1,0),DATE(1900,1,1),OFFSET('IWP03'!Std11dot3Billing, 8, 10, 1, 1))</f>
        <v>1</v>
      </c>
      <c r="I1102" s="123">
        <f ca="1">IF(OFFSET('IWP03'!Std11dot3Billing, 8, 12, 1, 1) =DATE(1900,1,0),DATE(1900,1,1),OFFSET('IWP03'!Std11dot3Billing, 8, 12, 1, 1))</f>
        <v>1</v>
      </c>
    </row>
    <row r="1103" spans="1:9">
      <c r="A1103" s="160" t="s">
        <v>749</v>
      </c>
      <c r="B1103" s="108">
        <f ca="1">IF(OFFSET('IWP03'!Std11dot3Billing, 9, 0, 1, 1) =DATE(1900,1,0),DATE(1900,1,1),OFFSET('IWP03'!Std11dot3Billing, 9, 0, 1, 1))</f>
        <v>1</v>
      </c>
      <c r="C1103" s="162">
        <f ca="1">OFFSET('IWP03'!Std11dot3Billing, 9, 2, 1, 1)</f>
        <v>0</v>
      </c>
      <c r="D1103" s="116">
        <f ca="1">OFFSET('IWP03'!Std11dot3Billing, 9, 3, 1, 1)</f>
        <v>0</v>
      </c>
      <c r="E1103" s="116">
        <f ca="1">OFFSET('IWP03'!Std11dot3Billing, 9, 5, 1, 1)</f>
        <v>0</v>
      </c>
      <c r="F1103" s="162">
        <f ca="1">OFFSET('IWP03'!Std11dot3Billing, 9, 7, 1, 1)</f>
        <v>0</v>
      </c>
      <c r="G1103" s="116">
        <f ca="1">IF(OFFSET('IWP03'!Std11dot3Billing, 9, 8, 1, 1) = "", 0, OFFSET('IWP03'!Std11dot3Billing, 9, 8, 1, 1))</f>
        <v>0</v>
      </c>
      <c r="H1103" s="108">
        <f ca="1">IF(OFFSET('IWP03'!Std11dot3Billing, 9, 10, 1, 1) =DATE(1900,1,0),DATE(1900,1,1),OFFSET('IWP03'!Std11dot3Billing, 9, 10, 1, 1))</f>
        <v>1</v>
      </c>
      <c r="I1103" s="123">
        <f ca="1">IF(OFFSET('IWP03'!Std11dot3Billing, 9, 12, 1, 1) =DATE(1900,1,0),DATE(1900,1,1),OFFSET('IWP03'!Std11dot3Billing, 9, 12, 1, 1))</f>
        <v>1</v>
      </c>
    </row>
    <row r="1104" spans="1:9">
      <c r="A1104" s="160" t="s">
        <v>817</v>
      </c>
      <c r="B1104" s="108">
        <f ca="1">IF(OFFSET('IWP04'!Std11dot3Billing, 0, 0, 1, 1) =DATE(1900,1,0),DATE(1900,1,1),OFFSET('IWP04'!Std11dot3Billing, 0, 0, 1, 1))</f>
        <v>1</v>
      </c>
      <c r="C1104" s="162">
        <f ca="1">OFFSET('IWP04'!Std11dot3Billing, 0, 2, 1, 1)</f>
        <v>0</v>
      </c>
      <c r="D1104" s="116">
        <f ca="1">OFFSET('IWP04'!Std11dot3Billing, 0, 3, 1, 1)</f>
        <v>0</v>
      </c>
      <c r="E1104" s="116">
        <f ca="1">OFFSET('IWP04'!Std11dot3Billing, 0, 5, 1, 1)</f>
        <v>0</v>
      </c>
      <c r="F1104" s="162">
        <f ca="1">OFFSET('IWP04'!Std11dot3Billing, 0, 7, 1, 1)</f>
        <v>0</v>
      </c>
      <c r="G1104" s="116">
        <f ca="1">IF(OFFSET('IWP04'!Std11dot3Billing, 0, 8, 1, 1) = "", 0, OFFSET('IWP04'!Std11dot3Billing, 0, 8, 1, 1))</f>
        <v>0</v>
      </c>
      <c r="H1104" s="108">
        <f ca="1">IF(OFFSET('IWP04'!Std11dot3Billing, 0, 10, 1, 1) =DATE(1900,1,0),DATE(1900,1,1),OFFSET('IWP04'!Std11dot3Billing, 0, 10, 1, 1))</f>
        <v>1</v>
      </c>
      <c r="I1104" s="123">
        <f ca="1">IF(OFFSET('IWP04'!Std11dot3Billing, 0, 12, 1, 1) =DATE(1900,1,0),DATE(1900,1,1),OFFSET('IWP04'!Std11dot3Billing, 0, 12, 1, 1))</f>
        <v>1</v>
      </c>
    </row>
    <row r="1105" spans="1:9">
      <c r="A1105" s="160" t="s">
        <v>817</v>
      </c>
      <c r="B1105" s="108">
        <f ca="1">IF(OFFSET('IWP04'!Std11dot3Billing, 1, 0, 1, 1) =DATE(1900,1,0),DATE(1900,1,1),OFFSET('IWP04'!Std11dot3Billing, 1, 0, 1, 1))</f>
        <v>1</v>
      </c>
      <c r="C1105" s="162">
        <f ca="1">OFFSET('IWP04'!Std11dot3Billing, 1, 2, 1, 1)</f>
        <v>0</v>
      </c>
      <c r="D1105" s="116">
        <f ca="1">OFFSET('IWP04'!Std11dot3Billing, 1, 3, 1, 1)</f>
        <v>0</v>
      </c>
      <c r="E1105" s="116">
        <f ca="1">OFFSET('IWP04'!Std11dot3Billing, 1, 5, 1, 1)</f>
        <v>0</v>
      </c>
      <c r="F1105" s="162">
        <f ca="1">OFFSET('IWP04'!Std11dot3Billing, 1, 7, 1, 1)</f>
        <v>0</v>
      </c>
      <c r="G1105" s="116">
        <f ca="1">IF(OFFSET('IWP04'!Std11dot3Billing, 1, 8, 1, 1) = "", 0, OFFSET('IWP04'!Std11dot3Billing, 1, 8, 1, 1))</f>
        <v>0</v>
      </c>
      <c r="H1105" s="108">
        <f ca="1">IF(OFFSET('IWP04'!Std11dot3Billing, 1, 10, 1, 1) =DATE(1900,1,0),DATE(1900,1,1),OFFSET('IWP04'!Std11dot3Billing, 1, 10, 1, 1))</f>
        <v>1</v>
      </c>
      <c r="I1105" s="123">
        <f ca="1">IF(OFFSET('IWP04'!Std11dot3Billing, 1, 12, 1, 1) =DATE(1900,1,0),DATE(1900,1,1),OFFSET('IWP04'!Std11dot3Billing, 1, 12, 1, 1))</f>
        <v>1</v>
      </c>
    </row>
    <row r="1106" spans="1:9">
      <c r="A1106" s="160" t="s">
        <v>817</v>
      </c>
      <c r="B1106" s="108">
        <f ca="1">IF(OFFSET('IWP04'!Std11dot3Billing, 2, 0, 1, 1) =DATE(1900,1,0),DATE(1900,1,1),OFFSET('IWP04'!Std11dot3Billing, 2, 0, 1, 1))</f>
        <v>1</v>
      </c>
      <c r="C1106" s="162">
        <f ca="1">OFFSET('IWP04'!Std11dot3Billing, 2, 2, 1, 1)</f>
        <v>0</v>
      </c>
      <c r="D1106" s="116">
        <f ca="1">OFFSET('IWP04'!Std11dot3Billing, 2, 3, 1, 1)</f>
        <v>0</v>
      </c>
      <c r="E1106" s="116">
        <f ca="1">OFFSET('IWP04'!Std11dot3Billing, 2, 5, 1, 1)</f>
        <v>0</v>
      </c>
      <c r="F1106" s="162">
        <f ca="1">OFFSET('IWP04'!Std11dot3Billing, 2, 7, 1, 1)</f>
        <v>0</v>
      </c>
      <c r="G1106" s="116">
        <f ca="1">IF(OFFSET('IWP04'!Std11dot3Billing, 2, 8, 1, 1) = "", 0, OFFSET('IWP04'!Std11dot3Billing, 2, 8, 1, 1))</f>
        <v>0</v>
      </c>
      <c r="H1106" s="108">
        <f ca="1">IF(OFFSET('IWP04'!Std11dot3Billing, 2, 10, 1, 1) =DATE(1900,1,0),DATE(1900,1,1),OFFSET('IWP04'!Std11dot3Billing, 2, 10, 1, 1))</f>
        <v>1</v>
      </c>
      <c r="I1106" s="123">
        <f ca="1">IF(OFFSET('IWP04'!Std11dot3Billing, 2, 12, 1, 1) =DATE(1900,1,0),DATE(1900,1,1),OFFSET('IWP04'!Std11dot3Billing, 2, 12, 1, 1))</f>
        <v>1</v>
      </c>
    </row>
    <row r="1107" spans="1:9">
      <c r="A1107" s="160" t="s">
        <v>817</v>
      </c>
      <c r="B1107" s="108">
        <f ca="1">IF(OFFSET('IWP04'!Std11dot3Billing, 3, 0, 1, 1) =DATE(1900,1,0),DATE(1900,1,1),OFFSET('IWP04'!Std11dot3Billing, 3, 0, 1, 1))</f>
        <v>1</v>
      </c>
      <c r="C1107" s="162">
        <f ca="1">OFFSET('IWP04'!Std11dot3Billing, 3, 2, 1, 1)</f>
        <v>0</v>
      </c>
      <c r="D1107" s="116">
        <f ca="1">OFFSET('IWP04'!Std11dot3Billing, 3, 3, 1, 1)</f>
        <v>0</v>
      </c>
      <c r="E1107" s="116">
        <f ca="1">OFFSET('IWP04'!Std11dot3Billing, 3, 5, 1, 1)</f>
        <v>0</v>
      </c>
      <c r="F1107" s="162">
        <f ca="1">OFFSET('IWP04'!Std11dot3Billing, 3, 7, 1, 1)</f>
        <v>0</v>
      </c>
      <c r="G1107" s="116">
        <f ca="1">IF(OFFSET('IWP04'!Std11dot3Billing, 3, 8, 1, 1) = "", 0, OFFSET('IWP04'!Std11dot3Billing, 3, 8, 1, 1))</f>
        <v>0</v>
      </c>
      <c r="H1107" s="108">
        <f ca="1">IF(OFFSET('IWP04'!Std11dot3Billing, 3, 10, 1, 1) =DATE(1900,1,0),DATE(1900,1,1),OFFSET('IWP04'!Std11dot3Billing, 3, 10, 1, 1))</f>
        <v>1</v>
      </c>
      <c r="I1107" s="123">
        <f ca="1">IF(OFFSET('IWP04'!Std11dot3Billing, 3, 12, 1, 1) =DATE(1900,1,0),DATE(1900,1,1),OFFSET('IWP04'!Std11dot3Billing, 3, 12, 1, 1))</f>
        <v>1</v>
      </c>
    </row>
    <row r="1108" spans="1:9">
      <c r="A1108" s="160" t="s">
        <v>817</v>
      </c>
      <c r="B1108" s="108">
        <f ca="1">IF(OFFSET('IWP04'!Std11dot3Billing, 4, 0, 1, 1) =DATE(1900,1,0),DATE(1900,1,1),OFFSET('IWP04'!Std11dot3Billing, 4, 0, 1, 1))</f>
        <v>1</v>
      </c>
      <c r="C1108" s="162">
        <f ca="1">OFFSET('IWP04'!Std11dot3Billing, 4, 2, 1, 1)</f>
        <v>0</v>
      </c>
      <c r="D1108" s="116">
        <f ca="1">OFFSET('IWP04'!Std11dot3Billing, 4, 3, 1, 1)</f>
        <v>0</v>
      </c>
      <c r="E1108" s="116">
        <f ca="1">OFFSET('IWP04'!Std11dot3Billing, 4, 5, 1, 1)</f>
        <v>0</v>
      </c>
      <c r="F1108" s="162">
        <f ca="1">OFFSET('IWP04'!Std11dot3Billing, 4, 7, 1, 1)</f>
        <v>0</v>
      </c>
      <c r="G1108" s="116">
        <f ca="1">IF(OFFSET('IWP04'!Std11dot3Billing, 4, 8, 1, 1) = "", 0, OFFSET('IWP04'!Std11dot3Billing, 4, 8, 1, 1))</f>
        <v>0</v>
      </c>
      <c r="H1108" s="108">
        <f ca="1">IF(OFFSET('IWP04'!Std11dot3Billing, 4, 10, 1, 1) =DATE(1900,1,0),DATE(1900,1,1),OFFSET('IWP04'!Std11dot3Billing, 4, 10, 1, 1))</f>
        <v>1</v>
      </c>
      <c r="I1108" s="123">
        <f ca="1">IF(OFFSET('IWP04'!Std11dot3Billing, 4, 12, 1, 1) =DATE(1900,1,0),DATE(1900,1,1),OFFSET('IWP04'!Std11dot3Billing, 4, 12, 1, 1))</f>
        <v>1</v>
      </c>
    </row>
    <row r="1109" spans="1:9">
      <c r="A1109" s="160" t="s">
        <v>817</v>
      </c>
      <c r="B1109" s="108">
        <f ca="1">IF(OFFSET('IWP04'!Std11dot3Billing, 5, 0, 1, 1) =DATE(1900,1,0),DATE(1900,1,1),OFFSET('IWP04'!Std11dot3Billing, 5, 0, 1, 1))</f>
        <v>1</v>
      </c>
      <c r="C1109" s="162">
        <f ca="1">OFFSET('IWP04'!Std11dot3Billing, 5, 2, 1, 1)</f>
        <v>0</v>
      </c>
      <c r="D1109" s="116">
        <f ca="1">OFFSET('IWP04'!Std11dot3Billing, 5, 3, 1, 1)</f>
        <v>0</v>
      </c>
      <c r="E1109" s="116">
        <f ca="1">OFFSET('IWP04'!Std11dot3Billing, 5, 5, 1, 1)</f>
        <v>0</v>
      </c>
      <c r="F1109" s="162">
        <f ca="1">OFFSET('IWP04'!Std11dot3Billing, 5, 7, 1, 1)</f>
        <v>0</v>
      </c>
      <c r="G1109" s="116">
        <f ca="1">IF(OFFSET('IWP04'!Std11dot3Billing, 5, 8, 1, 1) = "", 0, OFFSET('IWP04'!Std11dot3Billing, 5, 8, 1, 1))</f>
        <v>0</v>
      </c>
      <c r="H1109" s="108">
        <f ca="1">IF(OFFSET('IWP04'!Std11dot3Billing, 5, 10, 1, 1) =DATE(1900,1,0),DATE(1900,1,1),OFFSET('IWP04'!Std11dot3Billing, 5, 10, 1, 1))</f>
        <v>1</v>
      </c>
      <c r="I1109" s="123">
        <f ca="1">IF(OFFSET('IWP04'!Std11dot3Billing, 5, 12, 1, 1) =DATE(1900,1,0),DATE(1900,1,1),OFFSET('IWP04'!Std11dot3Billing, 5, 12, 1, 1))</f>
        <v>1</v>
      </c>
    </row>
    <row r="1110" spans="1:9">
      <c r="A1110" s="160" t="s">
        <v>817</v>
      </c>
      <c r="B1110" s="108">
        <f ca="1">IF(OFFSET('IWP04'!Std11dot3Billing, 6, 0, 1, 1) =DATE(1900,1,0),DATE(1900,1,1),OFFSET('IWP04'!Std11dot3Billing, 6, 0, 1, 1))</f>
        <v>1</v>
      </c>
      <c r="C1110" s="162">
        <f ca="1">OFFSET('IWP04'!Std11dot3Billing, 6, 2, 1, 1)</f>
        <v>0</v>
      </c>
      <c r="D1110" s="116">
        <f ca="1">OFFSET('IWP04'!Std11dot3Billing, 6, 3, 1, 1)</f>
        <v>0</v>
      </c>
      <c r="E1110" s="116">
        <f ca="1">OFFSET('IWP04'!Std11dot3Billing, 6, 5, 1, 1)</f>
        <v>0</v>
      </c>
      <c r="F1110" s="162">
        <f ca="1">OFFSET('IWP04'!Std11dot3Billing, 6, 7, 1, 1)</f>
        <v>0</v>
      </c>
      <c r="G1110" s="116">
        <f ca="1">IF(OFFSET('IWP04'!Std11dot3Billing, 6, 8, 1, 1) = "", 0, OFFSET('IWP04'!Std11dot3Billing, 6, 8, 1, 1))</f>
        <v>0</v>
      </c>
      <c r="H1110" s="108">
        <f ca="1">IF(OFFSET('IWP04'!Std11dot3Billing, 6, 10, 1, 1) =DATE(1900,1,0),DATE(1900,1,1),OFFSET('IWP04'!Std11dot3Billing, 6, 10, 1, 1))</f>
        <v>1</v>
      </c>
      <c r="I1110" s="123">
        <f ca="1">IF(OFFSET('IWP04'!Std11dot3Billing, 6, 12, 1, 1) =DATE(1900,1,0),DATE(1900,1,1),OFFSET('IWP04'!Std11dot3Billing, 6, 12, 1, 1))</f>
        <v>1</v>
      </c>
    </row>
    <row r="1111" spans="1:9">
      <c r="A1111" s="160" t="s">
        <v>817</v>
      </c>
      <c r="B1111" s="108">
        <f ca="1">IF(OFFSET('IWP04'!Std11dot3Billing, 7, 0, 1, 1) =DATE(1900,1,0),DATE(1900,1,1),OFFSET('IWP04'!Std11dot3Billing, 7, 0, 1, 1))</f>
        <v>1</v>
      </c>
      <c r="C1111" s="162">
        <f ca="1">OFFSET('IWP04'!Std11dot3Billing, 7, 2, 1, 1)</f>
        <v>0</v>
      </c>
      <c r="D1111" s="116">
        <f ca="1">OFFSET('IWP04'!Std11dot3Billing, 7, 3, 1, 1)</f>
        <v>0</v>
      </c>
      <c r="E1111" s="116">
        <f ca="1">OFFSET('IWP04'!Std11dot3Billing, 7, 5, 1, 1)</f>
        <v>0</v>
      </c>
      <c r="F1111" s="162">
        <f ca="1">OFFSET('IWP04'!Std11dot3Billing, 7, 7, 1, 1)</f>
        <v>0</v>
      </c>
      <c r="G1111" s="116">
        <f ca="1">IF(OFFSET('IWP04'!Std11dot3Billing, 7, 8, 1, 1) = "", 0, OFFSET('IWP04'!Std11dot3Billing, 7, 8, 1, 1))</f>
        <v>0</v>
      </c>
      <c r="H1111" s="108">
        <f ca="1">IF(OFFSET('IWP04'!Std11dot3Billing, 7, 10, 1, 1) =DATE(1900,1,0),DATE(1900,1,1),OFFSET('IWP04'!Std11dot3Billing, 7, 10, 1, 1))</f>
        <v>1</v>
      </c>
      <c r="I1111" s="123">
        <f ca="1">IF(OFFSET('IWP04'!Std11dot3Billing, 7, 12, 1, 1) =DATE(1900,1,0),DATE(1900,1,1),OFFSET('IWP04'!Std11dot3Billing, 7, 12, 1, 1))</f>
        <v>1</v>
      </c>
    </row>
    <row r="1112" spans="1:9">
      <c r="A1112" s="160" t="s">
        <v>817</v>
      </c>
      <c r="B1112" s="108">
        <f ca="1">IF(OFFSET('IWP04'!Std11dot3Billing, 8, 0, 1, 1) =DATE(1900,1,0),DATE(1900,1,1),OFFSET('IWP04'!Std11dot3Billing, 8, 0, 1, 1))</f>
        <v>1</v>
      </c>
      <c r="C1112" s="162">
        <f ca="1">OFFSET('IWP04'!Std11dot3Billing, 8, 2, 1, 1)</f>
        <v>0</v>
      </c>
      <c r="D1112" s="116">
        <f ca="1">OFFSET('IWP04'!Std11dot3Billing, 8, 3, 1, 1)</f>
        <v>0</v>
      </c>
      <c r="E1112" s="116">
        <f ca="1">OFFSET('IWP04'!Std11dot3Billing, 8, 5, 1, 1)</f>
        <v>0</v>
      </c>
      <c r="F1112" s="162">
        <f ca="1">OFFSET('IWP04'!Std11dot3Billing, 8, 7, 1, 1)</f>
        <v>0</v>
      </c>
      <c r="G1112" s="116">
        <f ca="1">IF(OFFSET('IWP04'!Std11dot3Billing, 8, 8, 1, 1) = "", 0, OFFSET('IWP04'!Std11dot3Billing, 8, 8, 1, 1))</f>
        <v>0</v>
      </c>
      <c r="H1112" s="108">
        <f ca="1">IF(OFFSET('IWP04'!Std11dot3Billing, 8, 10, 1, 1) =DATE(1900,1,0),DATE(1900,1,1),OFFSET('IWP04'!Std11dot3Billing, 8, 10, 1, 1))</f>
        <v>1</v>
      </c>
      <c r="I1112" s="123">
        <f ca="1">IF(OFFSET('IWP04'!Std11dot3Billing, 8, 12, 1, 1) =DATE(1900,1,0),DATE(1900,1,1),OFFSET('IWP04'!Std11dot3Billing, 8, 12, 1, 1))</f>
        <v>1</v>
      </c>
    </row>
    <row r="1113" spans="1:9">
      <c r="A1113" s="160" t="s">
        <v>817</v>
      </c>
      <c r="B1113" s="108">
        <f ca="1">IF(OFFSET('IWP04'!Std11dot3Billing, 9, 0, 1, 1) =DATE(1900,1,0),DATE(1900,1,1),OFFSET('IWP04'!Std11dot3Billing, 9, 0, 1, 1))</f>
        <v>1</v>
      </c>
      <c r="C1113" s="162">
        <f ca="1">OFFSET('IWP04'!Std11dot3Billing, 9, 2, 1, 1)</f>
        <v>0</v>
      </c>
      <c r="D1113" s="116">
        <f ca="1">OFFSET('IWP04'!Std11dot3Billing, 9, 3, 1, 1)</f>
        <v>0</v>
      </c>
      <c r="E1113" s="116">
        <f ca="1">OFFSET('IWP04'!Std11dot3Billing, 9, 5, 1, 1)</f>
        <v>0</v>
      </c>
      <c r="F1113" s="162">
        <f ca="1">OFFSET('IWP04'!Std11dot3Billing, 9, 7, 1, 1)</f>
        <v>0</v>
      </c>
      <c r="G1113" s="116">
        <f ca="1">IF(OFFSET('IWP04'!Std11dot3Billing, 9, 8, 1, 1) = "", 0, OFFSET('IWP04'!Std11dot3Billing, 9, 8, 1, 1))</f>
        <v>0</v>
      </c>
      <c r="H1113" s="108">
        <f ca="1">IF(OFFSET('IWP04'!Std11dot3Billing, 9, 10, 1, 1) =DATE(1900,1,0),DATE(1900,1,1),OFFSET('IWP04'!Std11dot3Billing, 9, 10, 1, 1))</f>
        <v>1</v>
      </c>
      <c r="I1113" s="123">
        <f ca="1">IF(OFFSET('IWP04'!Std11dot3Billing, 9, 12, 1, 1) =DATE(1900,1,0),DATE(1900,1,1),OFFSET('IWP04'!Std11dot3Billing, 9, 12, 1, 1))</f>
        <v>1</v>
      </c>
    </row>
    <row r="1114" spans="1:9">
      <c r="A1114" s="160" t="s">
        <v>818</v>
      </c>
      <c r="B1114" s="108">
        <f ca="1">IF(OFFSET('IWP05'!Std11dot3Billing, 0, 0, 1, 1) =DATE(1900,1,0),DATE(1900,1,1),OFFSET('IWP05'!Std11dot3Billing, 0, 0, 1, 1))</f>
        <v>1</v>
      </c>
      <c r="C1114" s="162">
        <f ca="1">OFFSET('IWP05'!Std11dot3Billing, 0, 2, 1, 1)</f>
        <v>0</v>
      </c>
      <c r="D1114" s="116">
        <f ca="1">OFFSET('IWP05'!Std11dot3Billing, 0, 3, 1, 1)</f>
        <v>0</v>
      </c>
      <c r="E1114" s="116">
        <f ca="1">OFFSET('IWP05'!Std11dot3Billing, 0, 5, 1, 1)</f>
        <v>0</v>
      </c>
      <c r="F1114" s="162">
        <f ca="1">OFFSET('IWP05'!Std11dot3Billing, 0, 7, 1, 1)</f>
        <v>0</v>
      </c>
      <c r="G1114" s="116">
        <f ca="1">IF(OFFSET('IWP05'!Std11dot3Billing, 0, 8, 1, 1) = "", 0, OFFSET('IWP05'!Std11dot3Billing, 0, 8, 1, 1))</f>
        <v>0</v>
      </c>
      <c r="H1114" s="108">
        <f ca="1">IF(OFFSET('IWP05'!Std11dot3Billing, 0, 10, 1, 1) =DATE(1900,1,0),DATE(1900,1,1),OFFSET('IWP05'!Std11dot3Billing, 0, 10, 1, 1))</f>
        <v>1</v>
      </c>
      <c r="I1114" s="123">
        <f ca="1">IF(OFFSET('IWP05'!Std11dot3Billing, 0, 12, 1, 1) =DATE(1900,1,0),DATE(1900,1,1),OFFSET('IWP05'!Std11dot3Billing, 0, 12, 1, 1))</f>
        <v>1</v>
      </c>
    </row>
    <row r="1115" spans="1:9">
      <c r="A1115" s="160" t="s">
        <v>818</v>
      </c>
      <c r="B1115" s="108">
        <f ca="1">IF(OFFSET('IWP05'!Std11dot3Billing, 1, 0, 1, 1) =DATE(1900,1,0),DATE(1900,1,1),OFFSET('IWP05'!Std11dot3Billing, 1, 0, 1, 1))</f>
        <v>1</v>
      </c>
      <c r="C1115" s="162">
        <f ca="1">OFFSET('IWP05'!Std11dot3Billing, 1, 2, 1, 1)</f>
        <v>0</v>
      </c>
      <c r="D1115" s="116">
        <f ca="1">OFFSET('IWP05'!Std11dot3Billing, 1, 3, 1, 1)</f>
        <v>0</v>
      </c>
      <c r="E1115" s="116">
        <f ca="1">OFFSET('IWP05'!Std11dot3Billing, 1, 5, 1, 1)</f>
        <v>0</v>
      </c>
      <c r="F1115" s="162">
        <f ca="1">OFFSET('IWP05'!Std11dot3Billing, 1, 7, 1, 1)</f>
        <v>0</v>
      </c>
      <c r="G1115" s="116">
        <f ca="1">IF(OFFSET('IWP05'!Std11dot3Billing, 1, 8, 1, 1) = "", 0, OFFSET('IWP05'!Std11dot3Billing, 1, 8, 1, 1))</f>
        <v>0</v>
      </c>
      <c r="H1115" s="108">
        <f ca="1">IF(OFFSET('IWP05'!Std11dot3Billing, 1, 10, 1, 1) =DATE(1900,1,0),DATE(1900,1,1),OFFSET('IWP05'!Std11dot3Billing, 1, 10, 1, 1))</f>
        <v>1</v>
      </c>
      <c r="I1115" s="123">
        <f ca="1">IF(OFFSET('IWP05'!Std11dot3Billing, 1, 12, 1, 1) =DATE(1900,1,0),DATE(1900,1,1),OFFSET('IWP05'!Std11dot3Billing, 1, 12, 1, 1))</f>
        <v>1</v>
      </c>
    </row>
    <row r="1116" spans="1:9">
      <c r="A1116" s="160" t="s">
        <v>818</v>
      </c>
      <c r="B1116" s="108">
        <f ca="1">IF(OFFSET('IWP05'!Std11dot3Billing, 2, 0, 1, 1) =DATE(1900,1,0),DATE(1900,1,1),OFFSET('IWP05'!Std11dot3Billing, 2, 0, 1, 1))</f>
        <v>1</v>
      </c>
      <c r="C1116" s="162">
        <f ca="1">OFFSET('IWP05'!Std11dot3Billing, 2, 2, 1, 1)</f>
        <v>0</v>
      </c>
      <c r="D1116" s="116">
        <f ca="1">OFFSET('IWP05'!Std11dot3Billing, 2, 3, 1, 1)</f>
        <v>0</v>
      </c>
      <c r="E1116" s="116">
        <f ca="1">OFFSET('IWP05'!Std11dot3Billing, 2, 5, 1, 1)</f>
        <v>0</v>
      </c>
      <c r="F1116" s="162">
        <f ca="1">OFFSET('IWP05'!Std11dot3Billing, 2, 7, 1, 1)</f>
        <v>0</v>
      </c>
      <c r="G1116" s="116">
        <f ca="1">IF(OFFSET('IWP05'!Std11dot3Billing, 2, 8, 1, 1) = "", 0, OFFSET('IWP05'!Std11dot3Billing, 2, 8, 1, 1))</f>
        <v>0</v>
      </c>
      <c r="H1116" s="108">
        <f ca="1">IF(OFFSET('IWP05'!Std11dot3Billing, 2, 10, 1, 1) =DATE(1900,1,0),DATE(1900,1,1),OFFSET('IWP05'!Std11dot3Billing, 2, 10, 1, 1))</f>
        <v>1</v>
      </c>
      <c r="I1116" s="123">
        <f ca="1">IF(OFFSET('IWP05'!Std11dot3Billing, 2, 12, 1, 1) =DATE(1900,1,0),DATE(1900,1,1),OFFSET('IWP05'!Std11dot3Billing, 2, 12, 1, 1))</f>
        <v>1</v>
      </c>
    </row>
    <row r="1117" spans="1:9">
      <c r="A1117" s="160" t="s">
        <v>818</v>
      </c>
      <c r="B1117" s="108">
        <f ca="1">IF(OFFSET('IWP05'!Std11dot3Billing, 3, 0, 1, 1) =DATE(1900,1,0),DATE(1900,1,1),OFFSET('IWP05'!Std11dot3Billing, 3, 0, 1, 1))</f>
        <v>1</v>
      </c>
      <c r="C1117" s="162">
        <f ca="1">OFFSET('IWP05'!Std11dot3Billing, 3, 2, 1, 1)</f>
        <v>0</v>
      </c>
      <c r="D1117" s="116">
        <f ca="1">OFFSET('IWP05'!Std11dot3Billing, 3, 3, 1, 1)</f>
        <v>0</v>
      </c>
      <c r="E1117" s="116">
        <f ca="1">OFFSET('IWP05'!Std11dot3Billing, 3, 5, 1, 1)</f>
        <v>0</v>
      </c>
      <c r="F1117" s="162">
        <f ca="1">OFFSET('IWP05'!Std11dot3Billing, 3, 7, 1, 1)</f>
        <v>0</v>
      </c>
      <c r="G1117" s="116">
        <f ca="1">IF(OFFSET('IWP05'!Std11dot3Billing, 3, 8, 1, 1) = "", 0, OFFSET('IWP05'!Std11dot3Billing, 3, 8, 1, 1))</f>
        <v>0</v>
      </c>
      <c r="H1117" s="108">
        <f ca="1">IF(OFFSET('IWP05'!Std11dot3Billing, 3, 10, 1, 1) =DATE(1900,1,0),DATE(1900,1,1),OFFSET('IWP05'!Std11dot3Billing, 3, 10, 1, 1))</f>
        <v>1</v>
      </c>
      <c r="I1117" s="123">
        <f ca="1">IF(OFFSET('IWP05'!Std11dot3Billing, 3, 12, 1, 1) =DATE(1900,1,0),DATE(1900,1,1),OFFSET('IWP05'!Std11dot3Billing, 3, 12, 1, 1))</f>
        <v>1</v>
      </c>
    </row>
    <row r="1118" spans="1:9">
      <c r="A1118" s="160" t="s">
        <v>818</v>
      </c>
      <c r="B1118" s="108">
        <f ca="1">IF(OFFSET('IWP05'!Std11dot3Billing, 4, 0, 1, 1) =DATE(1900,1,0),DATE(1900,1,1),OFFSET('IWP05'!Std11dot3Billing, 4, 0, 1, 1))</f>
        <v>1</v>
      </c>
      <c r="C1118" s="162">
        <f ca="1">OFFSET('IWP05'!Std11dot3Billing, 4, 2, 1, 1)</f>
        <v>0</v>
      </c>
      <c r="D1118" s="116">
        <f ca="1">OFFSET('IWP05'!Std11dot3Billing, 4, 3, 1, 1)</f>
        <v>0</v>
      </c>
      <c r="E1118" s="116">
        <f ca="1">OFFSET('IWP05'!Std11dot3Billing, 4, 5, 1, 1)</f>
        <v>0</v>
      </c>
      <c r="F1118" s="162">
        <f ca="1">OFFSET('IWP05'!Std11dot3Billing, 4, 7, 1, 1)</f>
        <v>0</v>
      </c>
      <c r="G1118" s="116">
        <f ca="1">IF(OFFSET('IWP05'!Std11dot3Billing, 4, 8, 1, 1) = "", 0, OFFSET('IWP05'!Std11dot3Billing, 4, 8, 1, 1))</f>
        <v>0</v>
      </c>
      <c r="H1118" s="108">
        <f ca="1">IF(OFFSET('IWP05'!Std11dot3Billing, 4, 10, 1, 1) =DATE(1900,1,0),DATE(1900,1,1),OFFSET('IWP05'!Std11dot3Billing, 4, 10, 1, 1))</f>
        <v>1</v>
      </c>
      <c r="I1118" s="123">
        <f ca="1">IF(OFFSET('IWP05'!Std11dot3Billing, 4, 12, 1, 1) =DATE(1900,1,0),DATE(1900,1,1),OFFSET('IWP05'!Std11dot3Billing, 4, 12, 1, 1))</f>
        <v>1</v>
      </c>
    </row>
    <row r="1119" spans="1:9">
      <c r="A1119" s="160" t="s">
        <v>818</v>
      </c>
      <c r="B1119" s="108">
        <f ca="1">IF(OFFSET('IWP05'!Std11dot3Billing, 5, 0, 1, 1) =DATE(1900,1,0),DATE(1900,1,1),OFFSET('IWP05'!Std11dot3Billing, 5, 0, 1, 1))</f>
        <v>1</v>
      </c>
      <c r="C1119" s="162">
        <f ca="1">OFFSET('IWP05'!Std11dot3Billing, 5, 2, 1, 1)</f>
        <v>0</v>
      </c>
      <c r="D1119" s="116">
        <f ca="1">OFFSET('IWP05'!Std11dot3Billing, 5, 3, 1, 1)</f>
        <v>0</v>
      </c>
      <c r="E1119" s="116">
        <f ca="1">OFFSET('IWP05'!Std11dot3Billing, 5, 5, 1, 1)</f>
        <v>0</v>
      </c>
      <c r="F1119" s="162">
        <f ca="1">OFFSET('IWP05'!Std11dot3Billing, 5, 7, 1, 1)</f>
        <v>0</v>
      </c>
      <c r="G1119" s="116">
        <f ca="1">IF(OFFSET('IWP05'!Std11dot3Billing, 5, 8, 1, 1) = "", 0, OFFSET('IWP05'!Std11dot3Billing, 5, 8, 1, 1))</f>
        <v>0</v>
      </c>
      <c r="H1119" s="108">
        <f ca="1">IF(OFFSET('IWP05'!Std11dot3Billing, 5, 10, 1, 1) =DATE(1900,1,0),DATE(1900,1,1),OFFSET('IWP05'!Std11dot3Billing, 5, 10, 1, 1))</f>
        <v>1</v>
      </c>
      <c r="I1119" s="123">
        <f ca="1">IF(OFFSET('IWP05'!Std11dot3Billing, 5, 12, 1, 1) =DATE(1900,1,0),DATE(1900,1,1),OFFSET('IWP05'!Std11dot3Billing, 5, 12, 1, 1))</f>
        <v>1</v>
      </c>
    </row>
    <row r="1120" spans="1:9">
      <c r="A1120" s="160" t="s">
        <v>818</v>
      </c>
      <c r="B1120" s="108">
        <f ca="1">IF(OFFSET('IWP05'!Std11dot3Billing, 6, 0, 1, 1) =DATE(1900,1,0),DATE(1900,1,1),OFFSET('IWP05'!Std11dot3Billing, 6, 0, 1, 1))</f>
        <v>1</v>
      </c>
      <c r="C1120" s="162">
        <f ca="1">OFFSET('IWP05'!Std11dot3Billing, 6, 2, 1, 1)</f>
        <v>0</v>
      </c>
      <c r="D1120" s="116">
        <f ca="1">OFFSET('IWP05'!Std11dot3Billing, 6, 3, 1, 1)</f>
        <v>0</v>
      </c>
      <c r="E1120" s="116">
        <f ca="1">OFFSET('IWP05'!Std11dot3Billing, 6, 5, 1, 1)</f>
        <v>0</v>
      </c>
      <c r="F1120" s="162">
        <f ca="1">OFFSET('IWP05'!Std11dot3Billing, 6, 7, 1, 1)</f>
        <v>0</v>
      </c>
      <c r="G1120" s="116">
        <f ca="1">IF(OFFSET('IWP05'!Std11dot3Billing, 6, 8, 1, 1) = "", 0, OFFSET('IWP05'!Std11dot3Billing, 6, 8, 1, 1))</f>
        <v>0</v>
      </c>
      <c r="H1120" s="108">
        <f ca="1">IF(OFFSET('IWP05'!Std11dot3Billing, 6, 10, 1, 1) =DATE(1900,1,0),DATE(1900,1,1),OFFSET('IWP05'!Std11dot3Billing, 6, 10, 1, 1))</f>
        <v>1</v>
      </c>
      <c r="I1120" s="123">
        <f ca="1">IF(OFFSET('IWP05'!Std11dot3Billing, 6, 12, 1, 1) =DATE(1900,1,0),DATE(1900,1,1),OFFSET('IWP05'!Std11dot3Billing, 6, 12, 1, 1))</f>
        <v>1</v>
      </c>
    </row>
    <row r="1121" spans="1:9">
      <c r="A1121" s="160" t="s">
        <v>818</v>
      </c>
      <c r="B1121" s="108">
        <f ca="1">IF(OFFSET('IWP05'!Std11dot3Billing, 7, 0, 1, 1) =DATE(1900,1,0),DATE(1900,1,1),OFFSET('IWP05'!Std11dot3Billing, 7, 0, 1, 1))</f>
        <v>1</v>
      </c>
      <c r="C1121" s="162">
        <f ca="1">OFFSET('IWP05'!Std11dot3Billing, 7, 2, 1, 1)</f>
        <v>0</v>
      </c>
      <c r="D1121" s="116">
        <f ca="1">OFFSET('IWP05'!Std11dot3Billing, 7, 3, 1, 1)</f>
        <v>0</v>
      </c>
      <c r="E1121" s="116">
        <f ca="1">OFFSET('IWP05'!Std11dot3Billing, 7, 5, 1, 1)</f>
        <v>0</v>
      </c>
      <c r="F1121" s="162">
        <f ca="1">OFFSET('IWP05'!Std11dot3Billing, 7, 7, 1, 1)</f>
        <v>0</v>
      </c>
      <c r="G1121" s="116">
        <f ca="1">IF(OFFSET('IWP05'!Std11dot3Billing, 7, 8, 1, 1) = "", 0, OFFSET('IWP05'!Std11dot3Billing, 7, 8, 1, 1))</f>
        <v>0</v>
      </c>
      <c r="H1121" s="108">
        <f ca="1">IF(OFFSET('IWP05'!Std11dot3Billing, 7, 10, 1, 1) =DATE(1900,1,0),DATE(1900,1,1),OFFSET('IWP05'!Std11dot3Billing, 7, 10, 1, 1))</f>
        <v>1</v>
      </c>
      <c r="I1121" s="123">
        <f ca="1">IF(OFFSET('IWP05'!Std11dot3Billing, 7, 12, 1, 1) =DATE(1900,1,0),DATE(1900,1,1),OFFSET('IWP05'!Std11dot3Billing, 7, 12, 1, 1))</f>
        <v>1</v>
      </c>
    </row>
    <row r="1122" spans="1:9">
      <c r="A1122" s="160" t="s">
        <v>818</v>
      </c>
      <c r="B1122" s="108">
        <f ca="1">IF(OFFSET('IWP05'!Std11dot3Billing, 8, 0, 1, 1) =DATE(1900,1,0),DATE(1900,1,1),OFFSET('IWP05'!Std11dot3Billing, 8, 0, 1, 1))</f>
        <v>1</v>
      </c>
      <c r="C1122" s="162">
        <f ca="1">OFFSET('IWP05'!Std11dot3Billing, 8, 2, 1, 1)</f>
        <v>0</v>
      </c>
      <c r="D1122" s="116">
        <f ca="1">OFFSET('IWP05'!Std11dot3Billing, 8, 3, 1, 1)</f>
        <v>0</v>
      </c>
      <c r="E1122" s="116">
        <f ca="1">OFFSET('IWP05'!Std11dot3Billing, 8, 5, 1, 1)</f>
        <v>0</v>
      </c>
      <c r="F1122" s="162">
        <f ca="1">OFFSET('IWP05'!Std11dot3Billing, 8, 7, 1, 1)</f>
        <v>0</v>
      </c>
      <c r="G1122" s="116">
        <f ca="1">IF(OFFSET('IWP05'!Std11dot3Billing, 8, 8, 1, 1) = "", 0, OFFSET('IWP05'!Std11dot3Billing, 8, 8, 1, 1))</f>
        <v>0</v>
      </c>
      <c r="H1122" s="108">
        <f ca="1">IF(OFFSET('IWP05'!Std11dot3Billing, 8, 10, 1, 1) =DATE(1900,1,0),DATE(1900,1,1),OFFSET('IWP05'!Std11dot3Billing, 8, 10, 1, 1))</f>
        <v>1</v>
      </c>
      <c r="I1122" s="123">
        <f ca="1">IF(OFFSET('IWP05'!Std11dot3Billing, 8, 12, 1, 1) =DATE(1900,1,0),DATE(1900,1,1),OFFSET('IWP05'!Std11dot3Billing, 8, 12, 1, 1))</f>
        <v>1</v>
      </c>
    </row>
    <row r="1123" spans="1:9">
      <c r="A1123" s="160" t="s">
        <v>818</v>
      </c>
      <c r="B1123" s="108">
        <f ca="1">IF(OFFSET('IWP05'!Std11dot3Billing, 9, 0, 1, 1) =DATE(1900,1,0),DATE(1900,1,1),OFFSET('IWP05'!Std11dot3Billing, 9, 0, 1, 1))</f>
        <v>1</v>
      </c>
      <c r="C1123" s="162">
        <f ca="1">OFFSET('IWP05'!Std11dot3Billing, 9, 2, 1, 1)</f>
        <v>0</v>
      </c>
      <c r="D1123" s="116">
        <f ca="1">OFFSET('IWP05'!Std11dot3Billing, 9, 3, 1, 1)</f>
        <v>0</v>
      </c>
      <c r="E1123" s="116">
        <f ca="1">OFFSET('IWP05'!Std11dot3Billing, 9, 5, 1, 1)</f>
        <v>0</v>
      </c>
      <c r="F1123" s="162">
        <f ca="1">OFFSET('IWP05'!Std11dot3Billing, 9, 7, 1, 1)</f>
        <v>0</v>
      </c>
      <c r="G1123" s="116">
        <f ca="1">IF(OFFSET('IWP05'!Std11dot3Billing, 9, 8, 1, 1) = "", 0, OFFSET('IWP05'!Std11dot3Billing, 9, 8, 1, 1))</f>
        <v>0</v>
      </c>
      <c r="H1123" s="108">
        <f ca="1">IF(OFFSET('IWP05'!Std11dot3Billing, 9, 10, 1, 1) =DATE(1900,1,0),DATE(1900,1,1),OFFSET('IWP05'!Std11dot3Billing, 9, 10, 1, 1))</f>
        <v>1</v>
      </c>
      <c r="I1123" s="123">
        <f ca="1">IF(OFFSET('IWP05'!Std11dot3Billing, 9, 12, 1, 1) =DATE(1900,1,0),DATE(1900,1,1),OFFSET('IWP05'!Std11dot3Billing, 9, 12, 1, 1))</f>
        <v>1</v>
      </c>
    </row>
    <row r="1124" spans="1:9">
      <c r="A1124" s="160" t="s">
        <v>819</v>
      </c>
      <c r="B1124" s="108">
        <f ca="1">IF(OFFSET('IWP06'!Std11dot3Billing, 0, 0, 1, 1) =DATE(1900,1,0),DATE(1900,1,1),OFFSET('IWP06'!Std11dot3Billing, 0, 0, 1, 1))</f>
        <v>1</v>
      </c>
      <c r="C1124" s="162">
        <f ca="1">OFFSET('IWP06'!Std11dot3Billing, 0, 2, 1, 1)</f>
        <v>0</v>
      </c>
      <c r="D1124" s="116">
        <f ca="1">OFFSET('IWP06'!Std11dot3Billing, 0, 3, 1, 1)</f>
        <v>0</v>
      </c>
      <c r="E1124" s="116">
        <f ca="1">OFFSET('IWP06'!Std11dot3Billing, 0, 5, 1, 1)</f>
        <v>0</v>
      </c>
      <c r="F1124" s="162">
        <f ca="1">OFFSET('IWP06'!Std11dot3Billing, 0, 7, 1, 1)</f>
        <v>0</v>
      </c>
      <c r="G1124" s="116">
        <f ca="1">IF(OFFSET('IWP06'!Std11dot3Billing, 0, 8, 1, 1) = "", 0, OFFSET('IWP06'!Std11dot3Billing, 0, 8, 1, 1))</f>
        <v>0</v>
      </c>
      <c r="H1124" s="108">
        <f ca="1">IF(OFFSET('IWP06'!Std11dot3Billing, 0, 10, 1, 1) =DATE(1900,1,0),DATE(1900,1,1),OFFSET('IWP06'!Std11dot3Billing, 0, 10, 1, 1))</f>
        <v>1</v>
      </c>
      <c r="I1124" s="123">
        <f ca="1">IF(OFFSET('IWP06'!Std11dot3Billing, 0, 12, 1, 1) =DATE(1900,1,0),DATE(1900,1,1),OFFSET('IWP06'!Std11dot3Billing, 0, 12, 1, 1))</f>
        <v>1</v>
      </c>
    </row>
    <row r="1125" spans="1:9">
      <c r="A1125" s="160" t="s">
        <v>819</v>
      </c>
      <c r="B1125" s="108">
        <f ca="1">IF(OFFSET('IWP06'!Std11dot3Billing, 1, 0, 1, 1) =DATE(1900,1,0),DATE(1900,1,1),OFFSET('IWP06'!Std11dot3Billing, 1, 0, 1, 1))</f>
        <v>1</v>
      </c>
      <c r="C1125" s="162">
        <f ca="1">OFFSET('IWP06'!Std11dot3Billing, 1, 2, 1, 1)</f>
        <v>0</v>
      </c>
      <c r="D1125" s="116">
        <f ca="1">OFFSET('IWP06'!Std11dot3Billing, 1, 3, 1, 1)</f>
        <v>0</v>
      </c>
      <c r="E1125" s="116">
        <f ca="1">OFFSET('IWP06'!Std11dot3Billing, 1, 5, 1, 1)</f>
        <v>0</v>
      </c>
      <c r="F1125" s="162">
        <f ca="1">OFFSET('IWP06'!Std11dot3Billing, 1, 7, 1, 1)</f>
        <v>0</v>
      </c>
      <c r="G1125" s="116">
        <f ca="1">IF(OFFSET('IWP06'!Std11dot3Billing, 1, 8, 1, 1) = "", 0, OFFSET('IWP06'!Std11dot3Billing, 1, 8, 1, 1))</f>
        <v>0</v>
      </c>
      <c r="H1125" s="108">
        <f ca="1">IF(OFFSET('IWP06'!Std11dot3Billing, 1, 10, 1, 1) =DATE(1900,1,0),DATE(1900,1,1),OFFSET('IWP06'!Std11dot3Billing, 1, 10, 1, 1))</f>
        <v>1</v>
      </c>
      <c r="I1125" s="123">
        <f ca="1">IF(OFFSET('IWP06'!Std11dot3Billing, 1, 12, 1, 1) =DATE(1900,1,0),DATE(1900,1,1),OFFSET('IWP06'!Std11dot3Billing, 1, 12, 1, 1))</f>
        <v>1</v>
      </c>
    </row>
    <row r="1126" spans="1:9">
      <c r="A1126" s="160" t="s">
        <v>819</v>
      </c>
      <c r="B1126" s="108">
        <f ca="1">IF(OFFSET('IWP06'!Std11dot3Billing, 2, 0, 1, 1) =DATE(1900,1,0),DATE(1900,1,1),OFFSET('IWP06'!Std11dot3Billing, 2, 0, 1, 1))</f>
        <v>1</v>
      </c>
      <c r="C1126" s="162">
        <f ca="1">OFFSET('IWP06'!Std11dot3Billing, 2, 2, 1, 1)</f>
        <v>0</v>
      </c>
      <c r="D1126" s="116">
        <f ca="1">OFFSET('IWP06'!Std11dot3Billing, 2, 3, 1, 1)</f>
        <v>0</v>
      </c>
      <c r="E1126" s="116">
        <f ca="1">OFFSET('IWP06'!Std11dot3Billing, 2, 5, 1, 1)</f>
        <v>0</v>
      </c>
      <c r="F1126" s="162">
        <f ca="1">OFFSET('IWP06'!Std11dot3Billing, 2, 7, 1, 1)</f>
        <v>0</v>
      </c>
      <c r="G1126" s="116">
        <f ca="1">IF(OFFSET('IWP06'!Std11dot3Billing, 2, 8, 1, 1) = "", 0, OFFSET('IWP06'!Std11dot3Billing, 2, 8, 1, 1))</f>
        <v>0</v>
      </c>
      <c r="H1126" s="108">
        <f ca="1">IF(OFFSET('IWP06'!Std11dot3Billing, 2, 10, 1, 1) =DATE(1900,1,0),DATE(1900,1,1),OFFSET('IWP06'!Std11dot3Billing, 2, 10, 1, 1))</f>
        <v>1</v>
      </c>
      <c r="I1126" s="123">
        <f ca="1">IF(OFFSET('IWP06'!Std11dot3Billing, 2, 12, 1, 1) =DATE(1900,1,0),DATE(1900,1,1),OFFSET('IWP06'!Std11dot3Billing, 2, 12, 1, 1))</f>
        <v>1</v>
      </c>
    </row>
    <row r="1127" spans="1:9">
      <c r="A1127" s="160" t="s">
        <v>819</v>
      </c>
      <c r="B1127" s="108">
        <f ca="1">IF(OFFSET('IWP06'!Std11dot3Billing, 3, 0, 1, 1) =DATE(1900,1,0),DATE(1900,1,1),OFFSET('IWP06'!Std11dot3Billing, 3, 0, 1, 1))</f>
        <v>1</v>
      </c>
      <c r="C1127" s="162">
        <f ca="1">OFFSET('IWP06'!Std11dot3Billing, 3, 2, 1, 1)</f>
        <v>0</v>
      </c>
      <c r="D1127" s="116">
        <f ca="1">OFFSET('IWP06'!Std11dot3Billing, 3, 3, 1, 1)</f>
        <v>0</v>
      </c>
      <c r="E1127" s="116">
        <f ca="1">OFFSET('IWP06'!Std11dot3Billing, 3, 5, 1, 1)</f>
        <v>0</v>
      </c>
      <c r="F1127" s="162">
        <f ca="1">OFFSET('IWP06'!Std11dot3Billing, 3, 7, 1, 1)</f>
        <v>0</v>
      </c>
      <c r="G1127" s="116">
        <f ca="1">IF(OFFSET('IWP06'!Std11dot3Billing, 3, 8, 1, 1) = "", 0, OFFSET('IWP06'!Std11dot3Billing, 3, 8, 1, 1))</f>
        <v>0</v>
      </c>
      <c r="H1127" s="108">
        <f ca="1">IF(OFFSET('IWP06'!Std11dot3Billing, 3, 10, 1, 1) =DATE(1900,1,0),DATE(1900,1,1),OFFSET('IWP06'!Std11dot3Billing, 3, 10, 1, 1))</f>
        <v>1</v>
      </c>
      <c r="I1127" s="123">
        <f ca="1">IF(OFFSET('IWP06'!Std11dot3Billing, 3, 12, 1, 1) =DATE(1900,1,0),DATE(1900,1,1),OFFSET('IWP06'!Std11dot3Billing, 3, 12, 1, 1))</f>
        <v>1</v>
      </c>
    </row>
    <row r="1128" spans="1:9">
      <c r="A1128" s="160" t="s">
        <v>819</v>
      </c>
      <c r="B1128" s="108">
        <f ca="1">IF(OFFSET('IWP06'!Std11dot3Billing, 4, 0, 1, 1) =DATE(1900,1,0),DATE(1900,1,1),OFFSET('IWP06'!Std11dot3Billing, 4, 0, 1, 1))</f>
        <v>1</v>
      </c>
      <c r="C1128" s="162">
        <f ca="1">OFFSET('IWP06'!Std11dot3Billing, 4, 2, 1, 1)</f>
        <v>0</v>
      </c>
      <c r="D1128" s="116">
        <f ca="1">OFFSET('IWP06'!Std11dot3Billing, 4, 3, 1, 1)</f>
        <v>0</v>
      </c>
      <c r="E1128" s="116">
        <f ca="1">OFFSET('IWP06'!Std11dot3Billing, 4, 5, 1, 1)</f>
        <v>0</v>
      </c>
      <c r="F1128" s="162">
        <f ca="1">OFFSET('IWP06'!Std11dot3Billing, 4, 7, 1, 1)</f>
        <v>0</v>
      </c>
      <c r="G1128" s="116">
        <f ca="1">IF(OFFSET('IWP06'!Std11dot3Billing, 4, 8, 1, 1) = "", 0, OFFSET('IWP06'!Std11dot3Billing, 4, 8, 1, 1))</f>
        <v>0</v>
      </c>
      <c r="H1128" s="108">
        <f ca="1">IF(OFFSET('IWP06'!Std11dot3Billing, 4, 10, 1, 1) =DATE(1900,1,0),DATE(1900,1,1),OFFSET('IWP06'!Std11dot3Billing, 4, 10, 1, 1))</f>
        <v>1</v>
      </c>
      <c r="I1128" s="123">
        <f ca="1">IF(OFFSET('IWP06'!Std11dot3Billing, 4, 12, 1, 1) =DATE(1900,1,0),DATE(1900,1,1),OFFSET('IWP06'!Std11dot3Billing, 4, 12, 1, 1))</f>
        <v>1</v>
      </c>
    </row>
    <row r="1129" spans="1:9">
      <c r="A1129" s="160" t="s">
        <v>819</v>
      </c>
      <c r="B1129" s="108">
        <f ca="1">IF(OFFSET('IWP06'!Std11dot3Billing, 5, 0, 1, 1) =DATE(1900,1,0),DATE(1900,1,1),OFFSET('IWP06'!Std11dot3Billing, 5, 0, 1, 1))</f>
        <v>1</v>
      </c>
      <c r="C1129" s="162">
        <f ca="1">OFFSET('IWP06'!Std11dot3Billing, 5, 2, 1, 1)</f>
        <v>0</v>
      </c>
      <c r="D1129" s="116">
        <f ca="1">OFFSET('IWP06'!Std11dot3Billing, 5, 3, 1, 1)</f>
        <v>0</v>
      </c>
      <c r="E1129" s="116">
        <f ca="1">OFFSET('IWP06'!Std11dot3Billing, 5, 5, 1, 1)</f>
        <v>0</v>
      </c>
      <c r="F1129" s="162">
        <f ca="1">OFFSET('IWP06'!Std11dot3Billing, 5, 7, 1, 1)</f>
        <v>0</v>
      </c>
      <c r="G1129" s="116">
        <f ca="1">IF(OFFSET('IWP06'!Std11dot3Billing, 5, 8, 1, 1) = "", 0, OFFSET('IWP06'!Std11dot3Billing, 5, 8, 1, 1))</f>
        <v>0</v>
      </c>
      <c r="H1129" s="108">
        <f ca="1">IF(OFFSET('IWP06'!Std11dot3Billing, 5, 10, 1, 1) =DATE(1900,1,0),DATE(1900,1,1),OFFSET('IWP06'!Std11dot3Billing, 5, 10, 1, 1))</f>
        <v>1</v>
      </c>
      <c r="I1129" s="123">
        <f ca="1">IF(OFFSET('IWP06'!Std11dot3Billing, 5, 12, 1, 1) =DATE(1900,1,0),DATE(1900,1,1),OFFSET('IWP06'!Std11dot3Billing, 5, 12, 1, 1))</f>
        <v>1</v>
      </c>
    </row>
    <row r="1130" spans="1:9">
      <c r="A1130" s="160" t="s">
        <v>819</v>
      </c>
      <c r="B1130" s="108">
        <f ca="1">IF(OFFSET('IWP06'!Std11dot3Billing, 6, 0, 1, 1) =DATE(1900,1,0),DATE(1900,1,1),OFFSET('IWP06'!Std11dot3Billing, 6, 0, 1, 1))</f>
        <v>1</v>
      </c>
      <c r="C1130" s="162">
        <f ca="1">OFFSET('IWP06'!Std11dot3Billing, 6, 2, 1, 1)</f>
        <v>0</v>
      </c>
      <c r="D1130" s="116">
        <f ca="1">OFFSET('IWP06'!Std11dot3Billing, 6, 3, 1, 1)</f>
        <v>0</v>
      </c>
      <c r="E1130" s="116">
        <f ca="1">OFFSET('IWP06'!Std11dot3Billing, 6, 5, 1, 1)</f>
        <v>0</v>
      </c>
      <c r="F1130" s="162">
        <f ca="1">OFFSET('IWP06'!Std11dot3Billing, 6, 7, 1, 1)</f>
        <v>0</v>
      </c>
      <c r="G1130" s="116">
        <f ca="1">IF(OFFSET('IWP06'!Std11dot3Billing, 6, 8, 1, 1) = "", 0, OFFSET('IWP06'!Std11dot3Billing, 6, 8, 1, 1))</f>
        <v>0</v>
      </c>
      <c r="H1130" s="108">
        <f ca="1">IF(OFFSET('IWP06'!Std11dot3Billing, 6, 10, 1, 1) =DATE(1900,1,0),DATE(1900,1,1),OFFSET('IWP06'!Std11dot3Billing, 6, 10, 1, 1))</f>
        <v>1</v>
      </c>
      <c r="I1130" s="123">
        <f ca="1">IF(OFFSET('IWP06'!Std11dot3Billing, 6, 12, 1, 1) =DATE(1900,1,0),DATE(1900,1,1),OFFSET('IWP06'!Std11dot3Billing, 6, 12, 1, 1))</f>
        <v>1</v>
      </c>
    </row>
    <row r="1131" spans="1:9">
      <c r="A1131" s="160" t="s">
        <v>819</v>
      </c>
      <c r="B1131" s="108">
        <f ca="1">IF(OFFSET('IWP06'!Std11dot3Billing, 7, 0, 1, 1) =DATE(1900,1,0),DATE(1900,1,1),OFFSET('IWP06'!Std11dot3Billing, 7, 0, 1, 1))</f>
        <v>1</v>
      </c>
      <c r="C1131" s="162">
        <f ca="1">OFFSET('IWP06'!Std11dot3Billing, 7, 2, 1, 1)</f>
        <v>0</v>
      </c>
      <c r="D1131" s="116">
        <f ca="1">OFFSET('IWP06'!Std11dot3Billing, 7, 3, 1, 1)</f>
        <v>0</v>
      </c>
      <c r="E1131" s="116">
        <f ca="1">OFFSET('IWP06'!Std11dot3Billing, 7, 5, 1, 1)</f>
        <v>0</v>
      </c>
      <c r="F1131" s="162">
        <f ca="1">OFFSET('IWP06'!Std11dot3Billing, 7, 7, 1, 1)</f>
        <v>0</v>
      </c>
      <c r="G1131" s="116">
        <f ca="1">IF(OFFSET('IWP06'!Std11dot3Billing, 7, 8, 1, 1) = "", 0, OFFSET('IWP06'!Std11dot3Billing, 7, 8, 1, 1))</f>
        <v>0</v>
      </c>
      <c r="H1131" s="108">
        <f ca="1">IF(OFFSET('IWP06'!Std11dot3Billing, 7, 10, 1, 1) =DATE(1900,1,0),DATE(1900,1,1),OFFSET('IWP06'!Std11dot3Billing, 7, 10, 1, 1))</f>
        <v>1</v>
      </c>
      <c r="I1131" s="123">
        <f ca="1">IF(OFFSET('IWP06'!Std11dot3Billing, 7, 12, 1, 1) =DATE(1900,1,0),DATE(1900,1,1),OFFSET('IWP06'!Std11dot3Billing, 7, 12, 1, 1))</f>
        <v>1</v>
      </c>
    </row>
    <row r="1132" spans="1:9">
      <c r="A1132" s="160" t="s">
        <v>819</v>
      </c>
      <c r="B1132" s="108">
        <f ca="1">IF(OFFSET('IWP06'!Std11dot3Billing, 8, 0, 1, 1) =DATE(1900,1,0),DATE(1900,1,1),OFFSET('IWP06'!Std11dot3Billing, 8, 0, 1, 1))</f>
        <v>1</v>
      </c>
      <c r="C1132" s="162">
        <f ca="1">OFFSET('IWP06'!Std11dot3Billing, 8, 2, 1, 1)</f>
        <v>0</v>
      </c>
      <c r="D1132" s="116">
        <f ca="1">OFFSET('IWP06'!Std11dot3Billing, 8, 3, 1, 1)</f>
        <v>0</v>
      </c>
      <c r="E1132" s="116">
        <f ca="1">OFFSET('IWP06'!Std11dot3Billing, 8, 5, 1, 1)</f>
        <v>0</v>
      </c>
      <c r="F1132" s="162">
        <f ca="1">OFFSET('IWP06'!Std11dot3Billing, 8, 7, 1, 1)</f>
        <v>0</v>
      </c>
      <c r="G1132" s="116">
        <f ca="1">IF(OFFSET('IWP06'!Std11dot3Billing, 8, 8, 1, 1) = "", 0, OFFSET('IWP06'!Std11dot3Billing, 8, 8, 1, 1))</f>
        <v>0</v>
      </c>
      <c r="H1132" s="108">
        <f ca="1">IF(OFFSET('IWP06'!Std11dot3Billing, 8, 10, 1, 1) =DATE(1900,1,0),DATE(1900,1,1),OFFSET('IWP06'!Std11dot3Billing, 8, 10, 1, 1))</f>
        <v>1</v>
      </c>
      <c r="I1132" s="123">
        <f ca="1">IF(OFFSET('IWP06'!Std11dot3Billing, 8, 12, 1, 1) =DATE(1900,1,0),DATE(1900,1,1),OFFSET('IWP06'!Std11dot3Billing, 8, 12, 1, 1))</f>
        <v>1</v>
      </c>
    </row>
    <row r="1133" spans="1:9">
      <c r="A1133" s="160" t="s">
        <v>819</v>
      </c>
      <c r="B1133" s="108">
        <f ca="1">IF(OFFSET('IWP06'!Std11dot3Billing, 9, 0, 1, 1) =DATE(1900,1,0),DATE(1900,1,1),OFFSET('IWP06'!Std11dot3Billing, 9, 0, 1, 1))</f>
        <v>1</v>
      </c>
      <c r="C1133" s="162">
        <f ca="1">OFFSET('IWP06'!Std11dot3Billing, 9, 2, 1, 1)</f>
        <v>0</v>
      </c>
      <c r="D1133" s="116">
        <f ca="1">OFFSET('IWP06'!Std11dot3Billing, 9, 3, 1, 1)</f>
        <v>0</v>
      </c>
      <c r="E1133" s="116">
        <f ca="1">OFFSET('IWP06'!Std11dot3Billing, 9, 5, 1, 1)</f>
        <v>0</v>
      </c>
      <c r="F1133" s="162">
        <f ca="1">OFFSET('IWP06'!Std11dot3Billing, 9, 7, 1, 1)</f>
        <v>0</v>
      </c>
      <c r="G1133" s="116">
        <f ca="1">IF(OFFSET('IWP06'!Std11dot3Billing, 9, 8, 1, 1) = "", 0, OFFSET('IWP06'!Std11dot3Billing, 9, 8, 1, 1))</f>
        <v>0</v>
      </c>
      <c r="H1133" s="108">
        <f ca="1">IF(OFFSET('IWP06'!Std11dot3Billing, 9, 10, 1, 1) =DATE(1900,1,0),DATE(1900,1,1),OFFSET('IWP06'!Std11dot3Billing, 9, 10, 1, 1))</f>
        <v>1</v>
      </c>
      <c r="I1133" s="123">
        <f ca="1">IF(OFFSET('IWP06'!Std11dot3Billing, 9, 12, 1, 1) =DATE(1900,1,0),DATE(1900,1,1),OFFSET('IWP06'!Std11dot3Billing, 9, 12, 1, 1))</f>
        <v>1</v>
      </c>
    </row>
    <row r="1134" spans="1:9">
      <c r="A1134" s="160" t="s">
        <v>820</v>
      </c>
      <c r="B1134" s="108">
        <f ca="1">IF(OFFSET('IWP07'!Std11dot3Billing, 0, 0, 1, 1) =DATE(1900,1,0),DATE(1900,1,1),OFFSET('IWP07'!Std11dot3Billing, 0, 0, 1, 1))</f>
        <v>1</v>
      </c>
      <c r="C1134" s="162">
        <f ca="1">OFFSET('IWP07'!Std11dot3Billing, 0, 2, 1, 1)</f>
        <v>0</v>
      </c>
      <c r="D1134" s="116">
        <f ca="1">OFFSET('IWP07'!Std11dot3Billing, 0, 3, 1, 1)</f>
        <v>0</v>
      </c>
      <c r="E1134" s="116">
        <f ca="1">OFFSET('IWP07'!Std11dot3Billing, 0, 5, 1, 1)</f>
        <v>0</v>
      </c>
      <c r="F1134" s="162">
        <f ca="1">OFFSET('IWP07'!Std11dot3Billing, 0, 7, 1, 1)</f>
        <v>0</v>
      </c>
      <c r="G1134" s="116">
        <f ca="1">IF(OFFSET('IWP07'!Std11dot3Billing, 0, 8, 1, 1) = "", 0, OFFSET('IWP07'!Std11dot3Billing, 0, 8, 1, 1))</f>
        <v>0</v>
      </c>
      <c r="H1134" s="108">
        <f ca="1">IF(OFFSET('IWP07'!Std11dot3Billing, 0, 10, 1, 1) =DATE(1900,1,0),DATE(1900,1,1),OFFSET('IWP07'!Std11dot3Billing, 0, 10, 1, 1))</f>
        <v>1</v>
      </c>
      <c r="I1134" s="123">
        <f ca="1">IF(OFFSET('IWP07'!Std11dot3Billing, 0, 12, 1, 1) =DATE(1900,1,0),DATE(1900,1,1),OFFSET('IWP07'!Std11dot3Billing, 0, 12, 1, 1))</f>
        <v>1</v>
      </c>
    </row>
    <row r="1135" spans="1:9">
      <c r="A1135" s="160" t="s">
        <v>820</v>
      </c>
      <c r="B1135" s="108">
        <f ca="1">IF(OFFSET('IWP07'!Std11dot3Billing, 1, 0, 1, 1) =DATE(1900,1,0),DATE(1900,1,1),OFFSET('IWP07'!Std11dot3Billing, 1, 0, 1, 1))</f>
        <v>1</v>
      </c>
      <c r="C1135" s="162">
        <f ca="1">OFFSET('IWP07'!Std11dot3Billing, 1, 2, 1, 1)</f>
        <v>0</v>
      </c>
      <c r="D1135" s="116">
        <f ca="1">OFFSET('IWP07'!Std11dot3Billing, 1, 3, 1, 1)</f>
        <v>0</v>
      </c>
      <c r="E1135" s="116">
        <f ca="1">OFFSET('IWP07'!Std11dot3Billing, 1, 5, 1, 1)</f>
        <v>0</v>
      </c>
      <c r="F1135" s="162">
        <f ca="1">OFFSET('IWP07'!Std11dot3Billing, 1, 7, 1, 1)</f>
        <v>0</v>
      </c>
      <c r="G1135" s="116">
        <f ca="1">IF(OFFSET('IWP07'!Std11dot3Billing, 1, 8, 1, 1) = "", 0, OFFSET('IWP07'!Std11dot3Billing, 1, 8, 1, 1))</f>
        <v>0</v>
      </c>
      <c r="H1135" s="108">
        <f ca="1">IF(OFFSET('IWP07'!Std11dot3Billing, 1, 10, 1, 1) =DATE(1900,1,0),DATE(1900,1,1),OFFSET('IWP07'!Std11dot3Billing, 1, 10, 1, 1))</f>
        <v>1</v>
      </c>
      <c r="I1135" s="123">
        <f ca="1">IF(OFFSET('IWP07'!Std11dot3Billing, 1, 12, 1, 1) =DATE(1900,1,0),DATE(1900,1,1),OFFSET('IWP07'!Std11dot3Billing, 1, 12, 1, 1))</f>
        <v>1</v>
      </c>
    </row>
    <row r="1136" spans="1:9">
      <c r="A1136" s="160" t="s">
        <v>820</v>
      </c>
      <c r="B1136" s="108">
        <f ca="1">IF(OFFSET('IWP07'!Std11dot3Billing, 2, 0, 1, 1) =DATE(1900,1,0),DATE(1900,1,1),OFFSET('IWP07'!Std11dot3Billing, 2, 0, 1, 1))</f>
        <v>1</v>
      </c>
      <c r="C1136" s="162">
        <f ca="1">OFFSET('IWP07'!Std11dot3Billing, 2, 2, 1, 1)</f>
        <v>0</v>
      </c>
      <c r="D1136" s="116">
        <f ca="1">OFFSET('IWP07'!Std11dot3Billing, 2, 3, 1, 1)</f>
        <v>0</v>
      </c>
      <c r="E1136" s="116">
        <f ca="1">OFFSET('IWP07'!Std11dot3Billing, 2, 5, 1, 1)</f>
        <v>0</v>
      </c>
      <c r="F1136" s="162">
        <f ca="1">OFFSET('IWP07'!Std11dot3Billing, 2, 7, 1, 1)</f>
        <v>0</v>
      </c>
      <c r="G1136" s="116">
        <f ca="1">IF(OFFSET('IWP07'!Std11dot3Billing, 2, 8, 1, 1) = "", 0, OFFSET('IWP07'!Std11dot3Billing, 2, 8, 1, 1))</f>
        <v>0</v>
      </c>
      <c r="H1136" s="108">
        <f ca="1">IF(OFFSET('IWP07'!Std11dot3Billing, 2, 10, 1, 1) =DATE(1900,1,0),DATE(1900,1,1),OFFSET('IWP07'!Std11dot3Billing, 2, 10, 1, 1))</f>
        <v>1</v>
      </c>
      <c r="I1136" s="123">
        <f ca="1">IF(OFFSET('IWP07'!Std11dot3Billing, 2, 12, 1, 1) =DATE(1900,1,0),DATE(1900,1,1),OFFSET('IWP07'!Std11dot3Billing, 2, 12, 1, 1))</f>
        <v>1</v>
      </c>
    </row>
    <row r="1137" spans="1:9">
      <c r="A1137" s="160" t="s">
        <v>820</v>
      </c>
      <c r="B1137" s="108">
        <f ca="1">IF(OFFSET('IWP07'!Std11dot3Billing, 3, 0, 1, 1) =DATE(1900,1,0),DATE(1900,1,1),OFFSET('IWP07'!Std11dot3Billing, 3, 0, 1, 1))</f>
        <v>1</v>
      </c>
      <c r="C1137" s="162">
        <f ca="1">OFFSET('IWP07'!Std11dot3Billing, 3, 2, 1, 1)</f>
        <v>0</v>
      </c>
      <c r="D1137" s="116">
        <f ca="1">OFFSET('IWP07'!Std11dot3Billing, 3, 3, 1, 1)</f>
        <v>0</v>
      </c>
      <c r="E1137" s="116">
        <f ca="1">OFFSET('IWP07'!Std11dot3Billing, 3, 5, 1, 1)</f>
        <v>0</v>
      </c>
      <c r="F1137" s="162">
        <f ca="1">OFFSET('IWP07'!Std11dot3Billing, 3, 7, 1, 1)</f>
        <v>0</v>
      </c>
      <c r="G1137" s="116">
        <f ca="1">IF(OFFSET('IWP07'!Std11dot3Billing, 3, 8, 1, 1) = "", 0, OFFSET('IWP07'!Std11dot3Billing, 3, 8, 1, 1))</f>
        <v>0</v>
      </c>
      <c r="H1137" s="108">
        <f ca="1">IF(OFFSET('IWP07'!Std11dot3Billing, 3, 10, 1, 1) =DATE(1900,1,0),DATE(1900,1,1),OFFSET('IWP07'!Std11dot3Billing, 3, 10, 1, 1))</f>
        <v>1</v>
      </c>
      <c r="I1137" s="123">
        <f ca="1">IF(OFFSET('IWP07'!Std11dot3Billing, 3, 12, 1, 1) =DATE(1900,1,0),DATE(1900,1,1),OFFSET('IWP07'!Std11dot3Billing, 3, 12, 1, 1))</f>
        <v>1</v>
      </c>
    </row>
    <row r="1138" spans="1:9">
      <c r="A1138" s="160" t="s">
        <v>820</v>
      </c>
      <c r="B1138" s="108">
        <f ca="1">IF(OFFSET('IWP07'!Std11dot3Billing, 4, 0, 1, 1) =DATE(1900,1,0),DATE(1900,1,1),OFFSET('IWP07'!Std11dot3Billing, 4, 0, 1, 1))</f>
        <v>1</v>
      </c>
      <c r="C1138" s="162">
        <f ca="1">OFFSET('IWP07'!Std11dot3Billing, 4, 2, 1, 1)</f>
        <v>0</v>
      </c>
      <c r="D1138" s="116">
        <f ca="1">OFFSET('IWP07'!Std11dot3Billing, 4, 3, 1, 1)</f>
        <v>0</v>
      </c>
      <c r="E1138" s="116">
        <f ca="1">OFFSET('IWP07'!Std11dot3Billing, 4, 5, 1, 1)</f>
        <v>0</v>
      </c>
      <c r="F1138" s="162">
        <f ca="1">OFFSET('IWP07'!Std11dot3Billing, 4, 7, 1, 1)</f>
        <v>0</v>
      </c>
      <c r="G1138" s="116">
        <f ca="1">IF(OFFSET('IWP07'!Std11dot3Billing, 4, 8, 1, 1) = "", 0, OFFSET('IWP07'!Std11dot3Billing, 4, 8, 1, 1))</f>
        <v>0</v>
      </c>
      <c r="H1138" s="108">
        <f ca="1">IF(OFFSET('IWP07'!Std11dot3Billing, 4, 10, 1, 1) =DATE(1900,1,0),DATE(1900,1,1),OFFSET('IWP07'!Std11dot3Billing, 4, 10, 1, 1))</f>
        <v>1</v>
      </c>
      <c r="I1138" s="123">
        <f ca="1">IF(OFFSET('IWP07'!Std11dot3Billing, 4, 12, 1, 1) =DATE(1900,1,0),DATE(1900,1,1),OFFSET('IWP07'!Std11dot3Billing, 4, 12, 1, 1))</f>
        <v>1</v>
      </c>
    </row>
    <row r="1139" spans="1:9">
      <c r="A1139" s="160" t="s">
        <v>820</v>
      </c>
      <c r="B1139" s="108">
        <f ca="1">IF(OFFSET('IWP07'!Std11dot3Billing, 5, 0, 1, 1) =DATE(1900,1,0),DATE(1900,1,1),OFFSET('IWP07'!Std11dot3Billing, 5, 0, 1, 1))</f>
        <v>1</v>
      </c>
      <c r="C1139" s="162">
        <f ca="1">OFFSET('IWP07'!Std11dot3Billing, 5, 2, 1, 1)</f>
        <v>0</v>
      </c>
      <c r="D1139" s="116">
        <f ca="1">OFFSET('IWP07'!Std11dot3Billing, 5, 3, 1, 1)</f>
        <v>0</v>
      </c>
      <c r="E1139" s="116">
        <f ca="1">OFFSET('IWP07'!Std11dot3Billing, 5, 5, 1, 1)</f>
        <v>0</v>
      </c>
      <c r="F1139" s="162">
        <f ca="1">OFFSET('IWP07'!Std11dot3Billing, 5, 7, 1, 1)</f>
        <v>0</v>
      </c>
      <c r="G1139" s="116">
        <f ca="1">IF(OFFSET('IWP07'!Std11dot3Billing, 5, 8, 1, 1) = "", 0, OFFSET('IWP07'!Std11dot3Billing, 5, 8, 1, 1))</f>
        <v>0</v>
      </c>
      <c r="H1139" s="108">
        <f ca="1">IF(OFFSET('IWP07'!Std11dot3Billing, 5, 10, 1, 1) =DATE(1900,1,0),DATE(1900,1,1),OFFSET('IWP07'!Std11dot3Billing, 5, 10, 1, 1))</f>
        <v>1</v>
      </c>
      <c r="I1139" s="123">
        <f ca="1">IF(OFFSET('IWP07'!Std11dot3Billing, 5, 12, 1, 1) =DATE(1900,1,0),DATE(1900,1,1),OFFSET('IWP07'!Std11dot3Billing, 5, 12, 1, 1))</f>
        <v>1</v>
      </c>
    </row>
    <row r="1140" spans="1:9">
      <c r="A1140" s="160" t="s">
        <v>820</v>
      </c>
      <c r="B1140" s="108">
        <f ca="1">IF(OFFSET('IWP07'!Std11dot3Billing, 6, 0, 1, 1) =DATE(1900,1,0),DATE(1900,1,1),OFFSET('IWP07'!Std11dot3Billing, 6, 0, 1, 1))</f>
        <v>1</v>
      </c>
      <c r="C1140" s="162">
        <f ca="1">OFFSET('IWP07'!Std11dot3Billing, 6, 2, 1, 1)</f>
        <v>0</v>
      </c>
      <c r="D1140" s="116">
        <f ca="1">OFFSET('IWP07'!Std11dot3Billing, 6, 3, 1, 1)</f>
        <v>0</v>
      </c>
      <c r="E1140" s="116">
        <f ca="1">OFFSET('IWP07'!Std11dot3Billing, 6, 5, 1, 1)</f>
        <v>0</v>
      </c>
      <c r="F1140" s="162">
        <f ca="1">OFFSET('IWP07'!Std11dot3Billing, 6, 7, 1, 1)</f>
        <v>0</v>
      </c>
      <c r="G1140" s="116">
        <f ca="1">IF(OFFSET('IWP07'!Std11dot3Billing, 6, 8, 1, 1) = "", 0, OFFSET('IWP07'!Std11dot3Billing, 6, 8, 1, 1))</f>
        <v>0</v>
      </c>
      <c r="H1140" s="108">
        <f ca="1">IF(OFFSET('IWP07'!Std11dot3Billing, 6, 10, 1, 1) =DATE(1900,1,0),DATE(1900,1,1),OFFSET('IWP07'!Std11dot3Billing, 6, 10, 1, 1))</f>
        <v>1</v>
      </c>
      <c r="I1140" s="123">
        <f ca="1">IF(OFFSET('IWP07'!Std11dot3Billing, 6, 12, 1, 1) =DATE(1900,1,0),DATE(1900,1,1),OFFSET('IWP07'!Std11dot3Billing, 6, 12, 1, 1))</f>
        <v>1</v>
      </c>
    </row>
    <row r="1141" spans="1:9">
      <c r="A1141" s="160" t="s">
        <v>820</v>
      </c>
      <c r="B1141" s="108">
        <f ca="1">IF(OFFSET('IWP07'!Std11dot3Billing, 7, 0, 1, 1) =DATE(1900,1,0),DATE(1900,1,1),OFFSET('IWP07'!Std11dot3Billing, 7, 0, 1, 1))</f>
        <v>1</v>
      </c>
      <c r="C1141" s="162">
        <f ca="1">OFFSET('IWP07'!Std11dot3Billing, 7, 2, 1, 1)</f>
        <v>0</v>
      </c>
      <c r="D1141" s="116">
        <f ca="1">OFFSET('IWP07'!Std11dot3Billing, 7, 3, 1, 1)</f>
        <v>0</v>
      </c>
      <c r="E1141" s="116">
        <f ca="1">OFFSET('IWP07'!Std11dot3Billing, 7, 5, 1, 1)</f>
        <v>0</v>
      </c>
      <c r="F1141" s="162">
        <f ca="1">OFFSET('IWP07'!Std11dot3Billing, 7, 7, 1, 1)</f>
        <v>0</v>
      </c>
      <c r="G1141" s="116">
        <f ca="1">IF(OFFSET('IWP07'!Std11dot3Billing, 7, 8, 1, 1) = "", 0, OFFSET('IWP07'!Std11dot3Billing, 7, 8, 1, 1))</f>
        <v>0</v>
      </c>
      <c r="H1141" s="108">
        <f ca="1">IF(OFFSET('IWP07'!Std11dot3Billing, 7, 10, 1, 1) =DATE(1900,1,0),DATE(1900,1,1),OFFSET('IWP07'!Std11dot3Billing, 7, 10, 1, 1))</f>
        <v>1</v>
      </c>
      <c r="I1141" s="123">
        <f ca="1">IF(OFFSET('IWP07'!Std11dot3Billing, 7, 12, 1, 1) =DATE(1900,1,0),DATE(1900,1,1),OFFSET('IWP07'!Std11dot3Billing, 7, 12, 1, 1))</f>
        <v>1</v>
      </c>
    </row>
    <row r="1142" spans="1:9">
      <c r="A1142" s="160" t="s">
        <v>820</v>
      </c>
      <c r="B1142" s="108">
        <f ca="1">IF(OFFSET('IWP07'!Std11dot3Billing, 8, 0, 1, 1) =DATE(1900,1,0),DATE(1900,1,1),OFFSET('IWP07'!Std11dot3Billing, 8, 0, 1, 1))</f>
        <v>1</v>
      </c>
      <c r="C1142" s="162">
        <f ca="1">OFFSET('IWP07'!Std11dot3Billing, 8, 2, 1, 1)</f>
        <v>0</v>
      </c>
      <c r="D1142" s="116">
        <f ca="1">OFFSET('IWP07'!Std11dot3Billing, 8, 3, 1, 1)</f>
        <v>0</v>
      </c>
      <c r="E1142" s="116">
        <f ca="1">OFFSET('IWP07'!Std11dot3Billing, 8, 5, 1, 1)</f>
        <v>0</v>
      </c>
      <c r="F1142" s="162">
        <f ca="1">OFFSET('IWP07'!Std11dot3Billing, 8, 7, 1, 1)</f>
        <v>0</v>
      </c>
      <c r="G1142" s="116">
        <f ca="1">IF(OFFSET('IWP07'!Std11dot3Billing, 8, 8, 1, 1) = "", 0, OFFSET('IWP07'!Std11dot3Billing, 8, 8, 1, 1))</f>
        <v>0</v>
      </c>
      <c r="H1142" s="108">
        <f ca="1">IF(OFFSET('IWP07'!Std11dot3Billing, 8, 10, 1, 1) =DATE(1900,1,0),DATE(1900,1,1),OFFSET('IWP07'!Std11dot3Billing, 8, 10, 1, 1))</f>
        <v>1</v>
      </c>
      <c r="I1142" s="123">
        <f ca="1">IF(OFFSET('IWP07'!Std11dot3Billing, 8, 12, 1, 1) =DATE(1900,1,0),DATE(1900,1,1),OFFSET('IWP07'!Std11dot3Billing, 8, 12, 1, 1))</f>
        <v>1</v>
      </c>
    </row>
    <row r="1143" spans="1:9">
      <c r="A1143" s="160" t="s">
        <v>820</v>
      </c>
      <c r="B1143" s="108">
        <f ca="1">IF(OFFSET('IWP07'!Std11dot3Billing, 9, 0, 1, 1) =DATE(1900,1,0),DATE(1900,1,1),OFFSET('IWP07'!Std11dot3Billing, 9, 0, 1, 1))</f>
        <v>1</v>
      </c>
      <c r="C1143" s="162">
        <f ca="1">OFFSET('IWP07'!Std11dot3Billing, 9, 2, 1, 1)</f>
        <v>0</v>
      </c>
      <c r="D1143" s="116">
        <f ca="1">OFFSET('IWP07'!Std11dot3Billing, 9, 3, 1, 1)</f>
        <v>0</v>
      </c>
      <c r="E1143" s="116">
        <f ca="1">OFFSET('IWP07'!Std11dot3Billing, 9, 5, 1, 1)</f>
        <v>0</v>
      </c>
      <c r="F1143" s="162">
        <f ca="1">OFFSET('IWP07'!Std11dot3Billing, 9, 7, 1, 1)</f>
        <v>0</v>
      </c>
      <c r="G1143" s="116">
        <f ca="1">IF(OFFSET('IWP07'!Std11dot3Billing, 9, 8, 1, 1) = "", 0, OFFSET('IWP07'!Std11dot3Billing, 9, 8, 1, 1))</f>
        <v>0</v>
      </c>
      <c r="H1143" s="108">
        <f ca="1">IF(OFFSET('IWP07'!Std11dot3Billing, 9, 10, 1, 1) =DATE(1900,1,0),DATE(1900,1,1),OFFSET('IWP07'!Std11dot3Billing, 9, 10, 1, 1))</f>
        <v>1</v>
      </c>
      <c r="I1143" s="123">
        <f ca="1">IF(OFFSET('IWP07'!Std11dot3Billing, 9, 12, 1, 1) =DATE(1900,1,0),DATE(1900,1,1),OFFSET('IWP07'!Std11dot3Billing, 9, 12, 1, 1))</f>
        <v>1</v>
      </c>
    </row>
    <row r="1144" spans="1:9">
      <c r="A1144" s="160" t="s">
        <v>821</v>
      </c>
      <c r="B1144" s="108">
        <f ca="1">IF(OFFSET('IWP08'!Std11dot3Billing, 0, 0, 1, 1) =DATE(1900,1,0),DATE(1900,1,1),OFFSET('IWP08'!Std11dot3Billing, 0, 0, 1, 1))</f>
        <v>1</v>
      </c>
      <c r="C1144" s="162">
        <f ca="1">OFFSET('IWP08'!Std11dot3Billing, 0, 2, 1, 1)</f>
        <v>0</v>
      </c>
      <c r="D1144" s="116">
        <f ca="1">OFFSET('IWP08'!Std11dot3Billing, 0, 3, 1, 1)</f>
        <v>0</v>
      </c>
      <c r="E1144" s="116">
        <f ca="1">OFFSET('IWP08'!Std11dot3Billing, 0, 5, 1, 1)</f>
        <v>0</v>
      </c>
      <c r="F1144" s="162">
        <f ca="1">OFFSET('IWP08'!Std11dot3Billing, 0, 7, 1, 1)</f>
        <v>0</v>
      </c>
      <c r="G1144" s="116">
        <f ca="1">IF(OFFSET('IWP08'!Std11dot3Billing, 0, 8, 1, 1) = "", 0, OFFSET('IWP08'!Std11dot3Billing, 0, 8, 1, 1))</f>
        <v>0</v>
      </c>
      <c r="H1144" s="108">
        <f ca="1">IF(OFFSET('IWP08'!Std11dot3Billing, 0, 10, 1, 1) =DATE(1900,1,0),DATE(1900,1,1),OFFSET('IWP08'!Std11dot3Billing, 0, 10, 1, 1))</f>
        <v>1</v>
      </c>
      <c r="I1144" s="123">
        <f ca="1">IF(OFFSET('IWP08'!Std11dot3Billing, 0, 12, 1, 1) =DATE(1900,1,0),DATE(1900,1,1),OFFSET('IWP08'!Std11dot3Billing, 0, 12, 1, 1))</f>
        <v>1</v>
      </c>
    </row>
    <row r="1145" spans="1:9">
      <c r="A1145" s="160" t="s">
        <v>821</v>
      </c>
      <c r="B1145" s="108">
        <f ca="1">IF(OFFSET('IWP08'!Std11dot3Billing, 1, 0, 1, 1) =DATE(1900,1,0),DATE(1900,1,1),OFFSET('IWP08'!Std11dot3Billing, 1, 0, 1, 1))</f>
        <v>1</v>
      </c>
      <c r="C1145" s="162">
        <f ca="1">OFFSET('IWP08'!Std11dot3Billing, 1, 2, 1, 1)</f>
        <v>0</v>
      </c>
      <c r="D1145" s="116">
        <f ca="1">OFFSET('IWP08'!Std11dot3Billing, 1, 3, 1, 1)</f>
        <v>0</v>
      </c>
      <c r="E1145" s="116">
        <f ca="1">OFFSET('IWP08'!Std11dot3Billing, 1, 5, 1, 1)</f>
        <v>0</v>
      </c>
      <c r="F1145" s="162">
        <f ca="1">OFFSET('IWP08'!Std11dot3Billing, 1, 7, 1, 1)</f>
        <v>0</v>
      </c>
      <c r="G1145" s="116">
        <f ca="1">IF(OFFSET('IWP08'!Std11dot3Billing, 1, 8, 1, 1) = "", 0, OFFSET('IWP08'!Std11dot3Billing, 1, 8, 1, 1))</f>
        <v>0</v>
      </c>
      <c r="H1145" s="108">
        <f ca="1">IF(OFFSET('IWP08'!Std11dot3Billing, 1, 10, 1, 1) =DATE(1900,1,0),DATE(1900,1,1),OFFSET('IWP08'!Std11dot3Billing, 1, 10, 1, 1))</f>
        <v>1</v>
      </c>
      <c r="I1145" s="123">
        <f ca="1">IF(OFFSET('IWP08'!Std11dot3Billing, 1, 12, 1, 1) =DATE(1900,1,0),DATE(1900,1,1),OFFSET('IWP08'!Std11dot3Billing, 1, 12, 1, 1))</f>
        <v>1</v>
      </c>
    </row>
    <row r="1146" spans="1:9">
      <c r="A1146" s="160" t="s">
        <v>821</v>
      </c>
      <c r="B1146" s="108">
        <f ca="1">IF(OFFSET('IWP08'!Std11dot3Billing, 2, 0, 1, 1) =DATE(1900,1,0),DATE(1900,1,1),OFFSET('IWP08'!Std11dot3Billing, 2, 0, 1, 1))</f>
        <v>1</v>
      </c>
      <c r="C1146" s="162">
        <f ca="1">OFFSET('IWP08'!Std11dot3Billing, 2, 2, 1, 1)</f>
        <v>0</v>
      </c>
      <c r="D1146" s="116">
        <f ca="1">OFFSET('IWP08'!Std11dot3Billing, 2, 3, 1, 1)</f>
        <v>0</v>
      </c>
      <c r="E1146" s="116">
        <f ca="1">OFFSET('IWP08'!Std11dot3Billing, 2, 5, 1, 1)</f>
        <v>0</v>
      </c>
      <c r="F1146" s="162">
        <f ca="1">OFFSET('IWP08'!Std11dot3Billing, 2, 7, 1, 1)</f>
        <v>0</v>
      </c>
      <c r="G1146" s="116">
        <f ca="1">IF(OFFSET('IWP08'!Std11dot3Billing, 2, 8, 1, 1) = "", 0, OFFSET('IWP08'!Std11dot3Billing, 2, 8, 1, 1))</f>
        <v>0</v>
      </c>
      <c r="H1146" s="108">
        <f ca="1">IF(OFFSET('IWP08'!Std11dot3Billing, 2, 10, 1, 1) =DATE(1900,1,0),DATE(1900,1,1),OFFSET('IWP08'!Std11dot3Billing, 2, 10, 1, 1))</f>
        <v>1</v>
      </c>
      <c r="I1146" s="123">
        <f ca="1">IF(OFFSET('IWP08'!Std11dot3Billing, 2, 12, 1, 1) =DATE(1900,1,0),DATE(1900,1,1),OFFSET('IWP08'!Std11dot3Billing, 2, 12, 1, 1))</f>
        <v>1</v>
      </c>
    </row>
    <row r="1147" spans="1:9">
      <c r="A1147" s="160" t="s">
        <v>821</v>
      </c>
      <c r="B1147" s="108">
        <f ca="1">IF(OFFSET('IWP08'!Std11dot3Billing, 3, 0, 1, 1) =DATE(1900,1,0),DATE(1900,1,1),OFFSET('IWP08'!Std11dot3Billing, 3, 0, 1, 1))</f>
        <v>1</v>
      </c>
      <c r="C1147" s="162">
        <f ca="1">OFFSET('IWP08'!Std11dot3Billing, 3, 2, 1, 1)</f>
        <v>0</v>
      </c>
      <c r="D1147" s="116">
        <f ca="1">OFFSET('IWP08'!Std11dot3Billing, 3, 3, 1, 1)</f>
        <v>0</v>
      </c>
      <c r="E1147" s="116">
        <f ca="1">OFFSET('IWP08'!Std11dot3Billing, 3, 5, 1, 1)</f>
        <v>0</v>
      </c>
      <c r="F1147" s="162">
        <f ca="1">OFFSET('IWP08'!Std11dot3Billing, 3, 7, 1, 1)</f>
        <v>0</v>
      </c>
      <c r="G1147" s="116">
        <f ca="1">IF(OFFSET('IWP08'!Std11dot3Billing, 3, 8, 1, 1) = "", 0, OFFSET('IWP08'!Std11dot3Billing, 3, 8, 1, 1))</f>
        <v>0</v>
      </c>
      <c r="H1147" s="108">
        <f ca="1">IF(OFFSET('IWP08'!Std11dot3Billing, 3, 10, 1, 1) =DATE(1900,1,0),DATE(1900,1,1),OFFSET('IWP08'!Std11dot3Billing, 3, 10, 1, 1))</f>
        <v>1</v>
      </c>
      <c r="I1147" s="123">
        <f ca="1">IF(OFFSET('IWP08'!Std11dot3Billing, 3, 12, 1, 1) =DATE(1900,1,0),DATE(1900,1,1),OFFSET('IWP08'!Std11dot3Billing, 3, 12, 1, 1))</f>
        <v>1</v>
      </c>
    </row>
    <row r="1148" spans="1:9">
      <c r="A1148" s="160" t="s">
        <v>821</v>
      </c>
      <c r="B1148" s="108">
        <f ca="1">IF(OFFSET('IWP08'!Std11dot3Billing, 4, 0, 1, 1) =DATE(1900,1,0),DATE(1900,1,1),OFFSET('IWP08'!Std11dot3Billing, 4, 0, 1, 1))</f>
        <v>1</v>
      </c>
      <c r="C1148" s="162">
        <f ca="1">OFFSET('IWP08'!Std11dot3Billing, 4, 2, 1, 1)</f>
        <v>0</v>
      </c>
      <c r="D1148" s="116">
        <f ca="1">OFFSET('IWP08'!Std11dot3Billing, 4, 3, 1, 1)</f>
        <v>0</v>
      </c>
      <c r="E1148" s="116">
        <f ca="1">OFFSET('IWP08'!Std11dot3Billing, 4, 5, 1, 1)</f>
        <v>0</v>
      </c>
      <c r="F1148" s="162">
        <f ca="1">OFFSET('IWP08'!Std11dot3Billing, 4, 7, 1, 1)</f>
        <v>0</v>
      </c>
      <c r="G1148" s="116">
        <f ca="1">IF(OFFSET('IWP08'!Std11dot3Billing, 4, 8, 1, 1) = "", 0, OFFSET('IWP08'!Std11dot3Billing, 4, 8, 1, 1))</f>
        <v>0</v>
      </c>
      <c r="H1148" s="108">
        <f ca="1">IF(OFFSET('IWP08'!Std11dot3Billing, 4, 10, 1, 1) =DATE(1900,1,0),DATE(1900,1,1),OFFSET('IWP08'!Std11dot3Billing, 4, 10, 1, 1))</f>
        <v>1</v>
      </c>
      <c r="I1148" s="123">
        <f ca="1">IF(OFFSET('IWP08'!Std11dot3Billing, 4, 12, 1, 1) =DATE(1900,1,0),DATE(1900,1,1),OFFSET('IWP08'!Std11dot3Billing, 4, 12, 1, 1))</f>
        <v>1</v>
      </c>
    </row>
    <row r="1149" spans="1:9">
      <c r="A1149" s="160" t="s">
        <v>821</v>
      </c>
      <c r="B1149" s="108">
        <f ca="1">IF(OFFSET('IWP08'!Std11dot3Billing, 5, 0, 1, 1) =DATE(1900,1,0),DATE(1900,1,1),OFFSET('IWP08'!Std11dot3Billing, 5, 0, 1, 1))</f>
        <v>1</v>
      </c>
      <c r="C1149" s="162">
        <f ca="1">OFFSET('IWP08'!Std11dot3Billing, 5, 2, 1, 1)</f>
        <v>0</v>
      </c>
      <c r="D1149" s="116">
        <f ca="1">OFFSET('IWP08'!Std11dot3Billing, 5, 3, 1, 1)</f>
        <v>0</v>
      </c>
      <c r="E1149" s="116">
        <f ca="1">OFFSET('IWP08'!Std11dot3Billing, 5, 5, 1, 1)</f>
        <v>0</v>
      </c>
      <c r="F1149" s="162">
        <f ca="1">OFFSET('IWP08'!Std11dot3Billing, 5, 7, 1, 1)</f>
        <v>0</v>
      </c>
      <c r="G1149" s="116">
        <f ca="1">IF(OFFSET('IWP08'!Std11dot3Billing, 5, 8, 1, 1) = "", 0, OFFSET('IWP08'!Std11dot3Billing, 5, 8, 1, 1))</f>
        <v>0</v>
      </c>
      <c r="H1149" s="108">
        <f ca="1">IF(OFFSET('IWP08'!Std11dot3Billing, 5, 10, 1, 1) =DATE(1900,1,0),DATE(1900,1,1),OFFSET('IWP08'!Std11dot3Billing, 5, 10, 1, 1))</f>
        <v>1</v>
      </c>
      <c r="I1149" s="123">
        <f ca="1">IF(OFFSET('IWP08'!Std11dot3Billing, 5, 12, 1, 1) =DATE(1900,1,0),DATE(1900,1,1),OFFSET('IWP08'!Std11dot3Billing, 5, 12, 1, 1))</f>
        <v>1</v>
      </c>
    </row>
    <row r="1150" spans="1:9">
      <c r="A1150" s="160" t="s">
        <v>821</v>
      </c>
      <c r="B1150" s="108">
        <f ca="1">IF(OFFSET('IWP08'!Std11dot3Billing, 6, 0, 1, 1) =DATE(1900,1,0),DATE(1900,1,1),OFFSET('IWP08'!Std11dot3Billing, 6, 0, 1, 1))</f>
        <v>1</v>
      </c>
      <c r="C1150" s="162">
        <f ca="1">OFFSET('IWP08'!Std11dot3Billing, 6, 2, 1, 1)</f>
        <v>0</v>
      </c>
      <c r="D1150" s="116">
        <f ca="1">OFFSET('IWP08'!Std11dot3Billing, 6, 3, 1, 1)</f>
        <v>0</v>
      </c>
      <c r="E1150" s="116">
        <f ca="1">OFFSET('IWP08'!Std11dot3Billing, 6, 5, 1, 1)</f>
        <v>0</v>
      </c>
      <c r="F1150" s="162">
        <f ca="1">OFFSET('IWP08'!Std11dot3Billing, 6, 7, 1, 1)</f>
        <v>0</v>
      </c>
      <c r="G1150" s="116">
        <f ca="1">IF(OFFSET('IWP08'!Std11dot3Billing, 6, 8, 1, 1) = "", 0, OFFSET('IWP08'!Std11dot3Billing, 6, 8, 1, 1))</f>
        <v>0</v>
      </c>
      <c r="H1150" s="108">
        <f ca="1">IF(OFFSET('IWP08'!Std11dot3Billing, 6, 10, 1, 1) =DATE(1900,1,0),DATE(1900,1,1),OFFSET('IWP08'!Std11dot3Billing, 6, 10, 1, 1))</f>
        <v>1</v>
      </c>
      <c r="I1150" s="123">
        <f ca="1">IF(OFFSET('IWP08'!Std11dot3Billing, 6, 12, 1, 1) =DATE(1900,1,0),DATE(1900,1,1),OFFSET('IWP08'!Std11dot3Billing, 6, 12, 1, 1))</f>
        <v>1</v>
      </c>
    </row>
    <row r="1151" spans="1:9">
      <c r="A1151" s="160" t="s">
        <v>821</v>
      </c>
      <c r="B1151" s="108">
        <f ca="1">IF(OFFSET('IWP08'!Std11dot3Billing, 7, 0, 1, 1) =DATE(1900,1,0),DATE(1900,1,1),OFFSET('IWP08'!Std11dot3Billing, 7, 0, 1, 1))</f>
        <v>1</v>
      </c>
      <c r="C1151" s="162">
        <f ca="1">OFFSET('IWP08'!Std11dot3Billing, 7, 2, 1, 1)</f>
        <v>0</v>
      </c>
      <c r="D1151" s="116">
        <f ca="1">OFFSET('IWP08'!Std11dot3Billing, 7, 3, 1, 1)</f>
        <v>0</v>
      </c>
      <c r="E1151" s="116">
        <f ca="1">OFFSET('IWP08'!Std11dot3Billing, 7, 5, 1, 1)</f>
        <v>0</v>
      </c>
      <c r="F1151" s="162">
        <f ca="1">OFFSET('IWP08'!Std11dot3Billing, 7, 7, 1, 1)</f>
        <v>0</v>
      </c>
      <c r="G1151" s="116">
        <f ca="1">IF(OFFSET('IWP08'!Std11dot3Billing, 7, 8, 1, 1) = "", 0, OFFSET('IWP08'!Std11dot3Billing, 7, 8, 1, 1))</f>
        <v>0</v>
      </c>
      <c r="H1151" s="108">
        <f ca="1">IF(OFFSET('IWP08'!Std11dot3Billing, 7, 10, 1, 1) =DATE(1900,1,0),DATE(1900,1,1),OFFSET('IWP08'!Std11dot3Billing, 7, 10, 1, 1))</f>
        <v>1</v>
      </c>
      <c r="I1151" s="123">
        <f ca="1">IF(OFFSET('IWP08'!Std11dot3Billing, 7, 12, 1, 1) =DATE(1900,1,0),DATE(1900,1,1),OFFSET('IWP08'!Std11dot3Billing, 7, 12, 1, 1))</f>
        <v>1</v>
      </c>
    </row>
    <row r="1152" spans="1:9">
      <c r="A1152" s="160" t="s">
        <v>821</v>
      </c>
      <c r="B1152" s="108">
        <f ca="1">IF(OFFSET('IWP08'!Std11dot3Billing, 8, 0, 1, 1) =DATE(1900,1,0),DATE(1900,1,1),OFFSET('IWP08'!Std11dot3Billing, 8, 0, 1, 1))</f>
        <v>1</v>
      </c>
      <c r="C1152" s="162">
        <f ca="1">OFFSET('IWP08'!Std11dot3Billing, 8, 2, 1, 1)</f>
        <v>0</v>
      </c>
      <c r="D1152" s="116">
        <f ca="1">OFFSET('IWP08'!Std11dot3Billing, 8, 3, 1, 1)</f>
        <v>0</v>
      </c>
      <c r="E1152" s="116">
        <f ca="1">OFFSET('IWP08'!Std11dot3Billing, 8, 5, 1, 1)</f>
        <v>0</v>
      </c>
      <c r="F1152" s="162">
        <f ca="1">OFFSET('IWP08'!Std11dot3Billing, 8, 7, 1, 1)</f>
        <v>0</v>
      </c>
      <c r="G1152" s="116">
        <f ca="1">IF(OFFSET('IWP08'!Std11dot3Billing, 8, 8, 1, 1) = "", 0, OFFSET('IWP08'!Std11dot3Billing, 8, 8, 1, 1))</f>
        <v>0</v>
      </c>
      <c r="H1152" s="108">
        <f ca="1">IF(OFFSET('IWP08'!Std11dot3Billing, 8, 10, 1, 1) =DATE(1900,1,0),DATE(1900,1,1),OFFSET('IWP08'!Std11dot3Billing, 8, 10, 1, 1))</f>
        <v>1</v>
      </c>
      <c r="I1152" s="123">
        <f ca="1">IF(OFFSET('IWP08'!Std11dot3Billing, 8, 12, 1, 1) =DATE(1900,1,0),DATE(1900,1,1),OFFSET('IWP08'!Std11dot3Billing, 8, 12, 1, 1))</f>
        <v>1</v>
      </c>
    </row>
    <row r="1153" spans="1:9" ht="15" thickBot="1">
      <c r="A1153" s="161" t="s">
        <v>821</v>
      </c>
      <c r="B1153" s="110">
        <f ca="1">IF(OFFSET('IWP08'!Std11dot3Billing, 9, 0, 1, 1) =DATE(1900,1,0),DATE(1900,1,1),OFFSET('IWP08'!Std11dot3Billing, 9, 0, 1, 1))</f>
        <v>1</v>
      </c>
      <c r="C1153" s="163">
        <f ca="1">OFFSET('IWP08'!Std11dot3Billing, 9, 2, 1, 1)</f>
        <v>0</v>
      </c>
      <c r="D1153" s="117">
        <f ca="1">OFFSET('IWP08'!Std11dot3Billing, 9, 3, 1, 1)</f>
        <v>0</v>
      </c>
      <c r="E1153" s="117">
        <f ca="1">OFFSET('IWP08'!Std11dot3Billing, 9, 5, 1, 1)</f>
        <v>0</v>
      </c>
      <c r="F1153" s="163">
        <f ca="1">OFFSET('IWP08'!Std11dot3Billing, 9, 7, 1, 1)</f>
        <v>0</v>
      </c>
      <c r="G1153" s="117">
        <f ca="1">IF(OFFSET('IWP08'!Std11dot3Billing, 9, 8, 1, 1) = "", 0, OFFSET('IWP08'!Std11dot3Billing, 9, 8, 1, 1))</f>
        <v>0</v>
      </c>
      <c r="H1153" s="110">
        <f ca="1">IF(OFFSET('IWP08'!Std11dot3Billing, 9, 10, 1, 1) =DATE(1900,1,0),DATE(1900,1,1),OFFSET('IWP08'!Std11dot3Billing, 9, 10, 1, 1))</f>
        <v>1</v>
      </c>
      <c r="I1153" s="100">
        <f ca="1">IF(OFFSET('IWP08'!Std11dot3Billing, 9, 12, 1, 1) =DATE(1900,1,0),DATE(1900,1,1),OFFSET('IWP08'!Std11dot3Billing, 9, 12, 1, 1))</f>
        <v>1</v>
      </c>
    </row>
  </sheetData>
  <sheetProtection algorithmName="SHA-512" hashValue="lXCvdpRYtJ1XPvl0uIt5+mGDLZ8kDCPiXJKB6Khzc8xl++zI2i3CDXxUiAYWTonasR10tSevcCdH+tzeYLnLsg==" saltValue="KcR6qy20ZPFXkBmHMQ4GrA==" spinCount="100000" sheet="1" objects="1" scenarios="1" selectLockedCells="1"/>
  <customSheetViews>
    <customSheetView guid="{E1D23BD2-FE11-448B-A102-D2461140BE5A}" state="hidden">
      <selection activeCell="B7" sqref="B7"/>
      <colBreaks count="1" manualBreakCount="1">
        <brk id="85" max="1152" man="1"/>
      </colBreaks>
      <pageMargins left="0.7" right="0.7" top="0.75" bottom="0.75" header="0.3" footer="0.3"/>
      <pageSetup scale="10" orientation="portrait" r:id="rId1"/>
    </customSheetView>
    <customSheetView guid="{B71FF06E-B5A8-4FBF-B20E-2B604DE9BFBD}" state="hidden">
      <colBreaks count="1" manualBreakCount="1">
        <brk id="85" max="1152" man="1"/>
      </colBreaks>
      <pageMargins left="0.7" right="0.7" top="0.75" bottom="0.75" header="0.3" footer="0.3"/>
      <pageSetup scale="10" orientation="portrait" r:id="rId2"/>
    </customSheetView>
  </customSheetViews>
  <pageMargins left="0.7" right="0.7" top="0.75" bottom="0.75" header="0.3" footer="0.3"/>
  <pageSetup scale="10" orientation="portrait" r:id="rId3"/>
  <colBreaks count="1" manualBreakCount="1">
    <brk id="85" max="1152"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U289"/>
  <sheetViews>
    <sheetView zoomScaleNormal="100" workbookViewId="0">
      <selection activeCell="D2" sqref="D2:E2"/>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8</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14WjMDCrbc+C/qU1RUmx1iI8qGarP7sSCWCY4q5479QGTIJ5JkhbSXwuF7vESoWPf502I2l9Ho3pZglv0Vtw5Q==" saltValue="dbzy51ycGBxzCTLSoBNu7A=="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6" priority="2" operator="lessThan">
      <formula>0</formula>
    </cfRule>
    <cfRule type="cellIs" dxfId="5" priority="3" operator="lessThan">
      <formula>0</formula>
    </cfRule>
  </conditionalFormatting>
  <conditionalFormatting sqref="K98:L98">
    <cfRule type="cellIs" dxfId="4" priority="1" operator="lessThan">
      <formula>0</formula>
    </cfRule>
  </conditionalFormatting>
  <dataValidations count="19">
    <dataValidation operator="greaterThanOrEqual" allowBlank="1" showInputMessage="1" showErrorMessage="1" sqref="D128:E128 I128:K128 D140:E140 I140:K140" xr:uid="{00000000-0002-0000-0900-000000000000}"/>
    <dataValidation type="date" allowBlank="1" showInputMessage="1" showErrorMessage="1" errorTitle="Date Error" error="Date must be within Dates of Review Period." sqref="D22" xr:uid="{00000000-0002-0000-0900-000001000000}">
      <formula1>G2</formula1>
      <formula2>I2</formula2>
    </dataValidation>
    <dataValidation type="date" allowBlank="1" showInputMessage="1" showErrorMessage="1" errorTitle="Date Error" error="Date must be within Dates of Review Period." sqref="I22" xr:uid="{00000000-0002-0000-0900-000002000000}">
      <formula1>G2</formula1>
      <formula2>I2</formula2>
    </dataValidation>
    <dataValidation type="date" allowBlank="1" showInputMessage="1" showErrorMessage="1" errorTitle="Date Error" error="Date must be within Dates of Review Period." sqref="J22:K22" xr:uid="{00000000-0002-0000-0900-000003000000}">
      <formula1>H2</formula1>
      <formula2>K2</formula2>
    </dataValidation>
    <dataValidation type="date" allowBlank="1" showInputMessage="1" showErrorMessage="1" errorTitle="Date Error" error="Date must be within Dates of Review Period." sqref="E22" xr:uid="{00000000-0002-0000-0900-000004000000}">
      <formula1>#REF!</formula1>
      <formula2>K2</formula2>
    </dataValidation>
    <dataValidation type="date" operator="greaterThanOrEqual" allowBlank="1" showInputMessage="1" showErrorMessage="1" sqref="M260:N269" xr:uid="{00000000-0002-0000-0900-000005000000}">
      <formula1>K260</formula1>
    </dataValidation>
    <dataValidation type="list" allowBlank="1" showInputMessage="1" showErrorMessage="1" promptTitle="X.6.a Entry Guidance" prompt="X.6.a cannot be &quot;NA&quot; if Column D above (Total Refund Due) is greater than $0.00." sqref="J230:K230" xr:uid="{00000000-0002-0000-0900-000006000000}">
      <formula1>"Y,N,NA"</formula1>
    </dataValidation>
    <dataValidation type="textLength" operator="lessThanOrEqual" allowBlank="1" showInputMessage="1" showErrorMessage="1" sqref="O279:R279" xr:uid="{00000000-0002-0000-0900-000007000000}">
      <formula1>255</formula1>
    </dataValidation>
    <dataValidation type="textLength" operator="lessThanOrEqual" allowBlank="1" showInputMessage="1" showErrorMessage="1" sqref="A20:K20" xr:uid="{00000000-0002-0000-0900-000008000000}">
      <formula1>1024</formula1>
    </dataValidation>
    <dataValidation type="list" allowBlank="1" showInputMessage="1" showErrorMessage="1" sqref="D2:E2" xr:uid="{00000000-0002-0000-0900-000009000000}">
      <formula1>"CCAD-AFC,CBA-AFC"</formula1>
    </dataValidation>
    <dataValidation type="textLength" operator="greaterThan" allowBlank="1" showInputMessage="1" showErrorMessage="1" sqref="D3:D4" xr:uid="{00000000-0002-0000-0900-00000A000000}">
      <formula1>1</formula1>
    </dataValidation>
    <dataValidation type="whole" allowBlank="1" showInputMessage="1" showErrorMessage="1" sqref="A2" xr:uid="{00000000-0002-0000-0900-00000B000000}">
      <formula1>1</formula1>
      <formula2>99</formula2>
    </dataValidation>
    <dataValidation type="whole" operator="greaterThan" allowBlank="1" showInputMessage="1" showErrorMessage="1" sqref="A103:A112 E103:E112" xr:uid="{00000000-0002-0000-0900-00000C000000}">
      <formula1>0</formula1>
    </dataValidation>
    <dataValidation type="whole" allowBlank="1" showInputMessage="1" showErrorMessage="1" sqref="C260:C269" xr:uid="{00000000-0002-0000-09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900-00000E000000}">
      <formula1>0</formula1>
    </dataValidation>
    <dataValidation type="list" allowBlank="1" showInputMessage="1" showErrorMessage="1" sqref="J122:K122 J169:K169 J134:K134 J146:K146 J224:K224 K42:L42 K7:L7 J35:K38 K76:L76 K50:L50 K71:L71 E66:G66 J99:L100" xr:uid="{00000000-0002-0000-0900-00000F000000}">
      <formula1>"Y,N"</formula1>
    </dataValidation>
    <dataValidation type="list" allowBlank="1" showInputMessage="1" showErrorMessage="1" sqref="B229" xr:uid="{00000000-0002-0000-0900-000010000000}">
      <formula1>"DEATH,DISCHARGE"</formula1>
    </dataValidation>
    <dataValidation type="list" allowBlank="1" showInputMessage="1" showErrorMessage="1" sqref="J248:K252 J239 G22 J281:K281 B22 K45:L47 K10:L13 J26:K32" xr:uid="{00000000-0002-0000-09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9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0897"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0898"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0899"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0900"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0901"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0902"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0903"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0904"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0905"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0906"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0907"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0908"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0909"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K39"/>
  <sheetViews>
    <sheetView zoomScaleNormal="100" workbookViewId="0">
      <selection activeCell="F6" sqref="F6:J7"/>
    </sheetView>
  </sheetViews>
  <sheetFormatPr defaultRowHeight="14.5"/>
  <cols>
    <col min="2" max="2" width="17.81640625" customWidth="1"/>
    <col min="8" max="8" width="7.81640625" customWidth="1"/>
    <col min="9" max="9" width="10.1796875" bestFit="1" customWidth="1"/>
    <col min="10" max="10" width="13" customWidth="1"/>
  </cols>
  <sheetData>
    <row r="1" spans="1:11" s="1" customFormat="1" ht="15.75" customHeight="1" thickTop="1">
      <c r="A1" s="592" t="s">
        <v>0</v>
      </c>
      <c r="B1" s="593"/>
      <c r="C1" s="593"/>
      <c r="D1" s="593"/>
      <c r="E1" s="593"/>
      <c r="F1" s="594"/>
      <c r="G1" s="1176" t="s">
        <v>1</v>
      </c>
      <c r="H1" s="596"/>
      <c r="I1" s="1176" t="s">
        <v>2</v>
      </c>
      <c r="J1" s="596"/>
    </row>
    <row r="2" spans="1:11" s="1" customFormat="1" ht="32.25" customHeight="1" thickBot="1">
      <c r="A2" s="1177" t="str">
        <f>IF(AND(CCADAFCcontractNumber=""),"",NameOfLegalEntity)</f>
        <v/>
      </c>
      <c r="B2" s="1178"/>
      <c r="C2" s="1178"/>
      <c r="D2" s="1178"/>
      <c r="E2" s="1178"/>
      <c r="F2" s="1179"/>
      <c r="G2" s="1180" t="str">
        <f>IF(AND(CCADAFCcontractNumber=""),"",ReviewLevel)</f>
        <v/>
      </c>
      <c r="H2" s="1181"/>
      <c r="I2" s="1180">
        <f>ReviewType</f>
        <v>0</v>
      </c>
      <c r="J2" s="1181"/>
    </row>
    <row r="3" spans="1:11" s="1" customFormat="1" ht="15.75" customHeight="1">
      <c r="A3" s="609" t="s">
        <v>3</v>
      </c>
      <c r="B3" s="610"/>
      <c r="C3" s="609" t="s">
        <v>4</v>
      </c>
      <c r="D3" s="610"/>
      <c r="E3" s="609" t="s">
        <v>894</v>
      </c>
      <c r="F3" s="610"/>
      <c r="G3" s="609" t="s">
        <v>894</v>
      </c>
      <c r="H3" s="610"/>
      <c r="I3" s="609" t="s">
        <v>939</v>
      </c>
      <c r="J3" s="610"/>
    </row>
    <row r="4" spans="1:11" s="1" customFormat="1" ht="15" customHeight="1">
      <c r="A4" s="224" t="s">
        <v>6</v>
      </c>
      <c r="B4" s="227" t="str">
        <f>IF(AND(CCADAFCcontractNumber=""),"",CompletedByLastName)</f>
        <v/>
      </c>
      <c r="C4" s="615" t="s">
        <v>7</v>
      </c>
      <c r="D4" s="616"/>
      <c r="E4" s="615" t="s">
        <v>895</v>
      </c>
      <c r="F4" s="616"/>
      <c r="G4" s="615" t="s">
        <v>991</v>
      </c>
      <c r="H4" s="616"/>
      <c r="I4" s="226" t="s">
        <v>8</v>
      </c>
      <c r="J4" s="228" t="str">
        <f>IF(AND(CCADAFCcontractNumber=""),"",IF(DateOfMonitoringPeriodBegin="","",DateOfMonitoringPeriodBegin))</f>
        <v/>
      </c>
    </row>
    <row r="5" spans="1:11" s="1" customFormat="1" ht="16.5" customHeight="1" thickBot="1">
      <c r="A5" s="225" t="s">
        <v>9</v>
      </c>
      <c r="B5" s="229" t="str">
        <f>IF(AND(CCADAFCcontractNumber=""),"",CompletedByFirstName)</f>
        <v/>
      </c>
      <c r="C5" s="1187" t="str">
        <f>IF(AND(CCADAFCcontractNumber=""),"",IF(DateOfEntrance="","",DateOfEntrance))</f>
        <v/>
      </c>
      <c r="D5" s="1188"/>
      <c r="E5" s="1189" t="str">
        <f>IF(AND(CCADAFCcontractNumber=""),"",IF(DateOfExit="","",DateOfExit))</f>
        <v/>
      </c>
      <c r="F5" s="1190"/>
      <c r="G5" s="1197" t="str">
        <f>IF(AND(CCADAFCcontractNumber=""),"",IF(DateOfRevisedExit="", "",DateOfRevisedExit))</f>
        <v/>
      </c>
      <c r="H5" s="1198"/>
      <c r="I5" s="213" t="s">
        <v>10</v>
      </c>
      <c r="J5" s="230" t="str">
        <f>IF(AND(CCADAFCcontractNumber=""),"",IF(DateOfMonitoringPeriodEnd="","",DateOfMonitoringPeriodEnd))</f>
        <v/>
      </c>
    </row>
    <row r="6" spans="1:11" s="1" customFormat="1" ht="15.75" customHeight="1" thickBot="1">
      <c r="A6" s="1194" t="s">
        <v>11</v>
      </c>
      <c r="B6" s="1195"/>
      <c r="C6" s="1195" t="s">
        <v>49</v>
      </c>
      <c r="D6" s="1195"/>
      <c r="E6" s="1196"/>
      <c r="F6" s="1191"/>
      <c r="G6" s="1192"/>
      <c r="H6" s="1192"/>
      <c r="I6" s="1192"/>
      <c r="J6" s="1192"/>
      <c r="K6" s="25"/>
    </row>
    <row r="7" spans="1:11" s="1" customFormat="1" ht="15" customHeight="1" thickBot="1">
      <c r="A7" s="1182" t="s">
        <v>402</v>
      </c>
      <c r="B7" s="1183"/>
      <c r="C7" s="1184">
        <f>CCADAFCcontractNumber</f>
        <v>0</v>
      </c>
      <c r="D7" s="1185"/>
      <c r="E7" s="1186"/>
      <c r="F7" s="1191"/>
      <c r="G7" s="1192"/>
      <c r="H7" s="1192"/>
      <c r="I7" s="1192"/>
      <c r="J7" s="1193"/>
    </row>
    <row r="8" spans="1:11" s="1" customFormat="1" ht="17.25" customHeight="1" thickTop="1" thickBot="1">
      <c r="A8" s="513" t="s">
        <v>497</v>
      </c>
      <c r="B8" s="514"/>
      <c r="C8" s="514"/>
      <c r="D8" s="514"/>
      <c r="E8" s="514"/>
      <c r="F8" s="514"/>
      <c r="G8" s="514"/>
      <c r="H8" s="514"/>
      <c r="I8" s="514"/>
      <c r="J8" s="515"/>
    </row>
    <row r="9" spans="1:11" s="1" customFormat="1" ht="16.5" customHeight="1" thickTop="1">
      <c r="A9" s="631" t="s">
        <v>20</v>
      </c>
      <c r="B9" s="632"/>
      <c r="C9" s="632"/>
      <c r="D9" s="632"/>
      <c r="E9" s="632"/>
      <c r="F9" s="633"/>
      <c r="G9" s="151" t="s">
        <v>21</v>
      </c>
      <c r="H9" s="151" t="s">
        <v>22</v>
      </c>
      <c r="I9" s="151" t="s">
        <v>23</v>
      </c>
      <c r="J9" s="151" t="s">
        <v>24</v>
      </c>
    </row>
    <row r="10" spans="1:11" s="1" customFormat="1" ht="17.25" customHeight="1">
      <c r="A10" s="1199"/>
      <c r="B10" s="1200"/>
      <c r="C10" s="1200"/>
      <c r="D10" s="1200"/>
      <c r="E10" s="1200"/>
      <c r="F10" s="1201"/>
      <c r="G10" s="1205" t="s">
        <v>15</v>
      </c>
      <c r="H10" s="1205" t="s">
        <v>16</v>
      </c>
      <c r="I10" s="152" t="s">
        <v>25</v>
      </c>
      <c r="J10" s="152" t="s">
        <v>26</v>
      </c>
    </row>
    <row r="11" spans="1:11" s="1" customFormat="1" ht="16" thickBot="1">
      <c r="A11" s="1202"/>
      <c r="B11" s="1203"/>
      <c r="C11" s="1203"/>
      <c r="D11" s="1203"/>
      <c r="E11" s="1203"/>
      <c r="F11" s="1204"/>
      <c r="G11" s="1206"/>
      <c r="H11" s="1206"/>
      <c r="I11" s="153" t="s">
        <v>27</v>
      </c>
      <c r="J11" s="153" t="s">
        <v>28</v>
      </c>
    </row>
    <row r="12" spans="1:11" s="1" customFormat="1" ht="16.5" customHeight="1" thickTop="1">
      <c r="A12" s="1173" t="s">
        <v>29</v>
      </c>
      <c r="B12" s="1174"/>
      <c r="C12" s="1174"/>
      <c r="D12" s="1174"/>
      <c r="E12" s="1174"/>
      <c r="F12" s="1175"/>
      <c r="G12" s="1157">
        <f>IF(AND(CCADAFCcontractNumber=""),0,Standard_I_Total_Yes)</f>
        <v>0</v>
      </c>
      <c r="H12" s="1157">
        <f>IF(AND(CCADAFCcontractNumber=""),0,Standard_I_Total_No)</f>
        <v>0</v>
      </c>
      <c r="I12" s="1157">
        <f>G12+H12</f>
        <v>0</v>
      </c>
      <c r="J12" s="1159" t="str">
        <f>IF(I12 &lt;&gt; 0, G12/I12, "")</f>
        <v/>
      </c>
    </row>
    <row r="13" spans="1:11" s="1" customFormat="1" ht="16.5" customHeight="1" thickBot="1">
      <c r="A13" s="1164" t="s">
        <v>169</v>
      </c>
      <c r="B13" s="1165"/>
      <c r="C13" s="1165"/>
      <c r="D13" s="1165"/>
      <c r="E13" s="1165"/>
      <c r="F13" s="1166"/>
      <c r="G13" s="1158"/>
      <c r="H13" s="1158"/>
      <c r="I13" s="1158"/>
      <c r="J13" s="1160"/>
    </row>
    <row r="14" spans="1:11" s="1" customFormat="1" ht="15.75" customHeight="1" thickTop="1">
      <c r="A14" s="1154" t="s">
        <v>30</v>
      </c>
      <c r="B14" s="1155"/>
      <c r="C14" s="1155"/>
      <c r="D14" s="1155"/>
      <c r="E14" s="1155"/>
      <c r="F14" s="1156"/>
      <c r="G14" s="1157">
        <f>IF(AND(CCADAFCcontractNumber=""),0,Standard_II_Total_Yes)</f>
        <v>0</v>
      </c>
      <c r="H14" s="1157">
        <f>IF(AND(CCADAFCcontractNumber=""),0,Standard_II_Total_No)</f>
        <v>0</v>
      </c>
      <c r="I14" s="1157">
        <f>G14+H14</f>
        <v>0</v>
      </c>
      <c r="J14" s="1159" t="str">
        <f t="shared" ref="J14" si="0">IF(I14 &lt;&gt; 0, G14/I14, "")</f>
        <v/>
      </c>
    </row>
    <row r="15" spans="1:11" s="1" customFormat="1" ht="15.75" customHeight="1" thickBot="1">
      <c r="A15" s="1164" t="s">
        <v>498</v>
      </c>
      <c r="B15" s="1165"/>
      <c r="C15" s="1165"/>
      <c r="D15" s="1165"/>
      <c r="E15" s="1165"/>
      <c r="F15" s="1166"/>
      <c r="G15" s="1158"/>
      <c r="H15" s="1158"/>
      <c r="I15" s="1158"/>
      <c r="J15" s="1160"/>
    </row>
    <row r="16" spans="1:11" s="1" customFormat="1" ht="15.75" customHeight="1" thickTop="1">
      <c r="A16" s="1154" t="s">
        <v>31</v>
      </c>
      <c r="B16" s="1155"/>
      <c r="C16" s="1155"/>
      <c r="D16" s="1155"/>
      <c r="E16" s="1155"/>
      <c r="F16" s="1156"/>
      <c r="G16" s="1157">
        <f>IF(AND(CCADAFCcontractNumber=""),0,Standard_III_Total_Yes)</f>
        <v>0</v>
      </c>
      <c r="H16" s="1157">
        <f>IF(AND(CCADAFCcontractNumber=""),0,Standard_III_Total_No)</f>
        <v>0</v>
      </c>
      <c r="I16" s="1157">
        <f>G16+H16</f>
        <v>0</v>
      </c>
      <c r="J16" s="1159" t="str">
        <f t="shared" ref="J16" si="1">IF(I16 &lt;&gt; 0, G16/I16, "")</f>
        <v/>
      </c>
    </row>
    <row r="17" spans="1:10" s="1" customFormat="1" ht="15.75" customHeight="1" thickBot="1">
      <c r="A17" s="1164" t="s">
        <v>170</v>
      </c>
      <c r="B17" s="1165"/>
      <c r="C17" s="1165"/>
      <c r="D17" s="1165"/>
      <c r="E17" s="1165"/>
      <c r="F17" s="1166"/>
      <c r="G17" s="1158"/>
      <c r="H17" s="1158"/>
      <c r="I17" s="1158"/>
      <c r="J17" s="1160"/>
    </row>
    <row r="18" spans="1:10" s="1" customFormat="1" ht="16.5" customHeight="1" thickTop="1">
      <c r="A18" s="1154" t="s">
        <v>32</v>
      </c>
      <c r="B18" s="1155"/>
      <c r="C18" s="1155"/>
      <c r="D18" s="1155"/>
      <c r="E18" s="1155"/>
      <c r="F18" s="1156"/>
      <c r="G18" s="1157">
        <f>IF(AND(CCADAFCcontractNumber=""),0,Standard_IV_Total_Yes)</f>
        <v>0</v>
      </c>
      <c r="H18" s="1157">
        <f>IF(AND(CCADAFCcontractNumber=""),0,Standard_IV_Total_No)</f>
        <v>0</v>
      </c>
      <c r="I18" s="1157">
        <f>G18+H18</f>
        <v>0</v>
      </c>
      <c r="J18" s="1159" t="str">
        <f t="shared" ref="J18" si="2">IF(I18 &lt;&gt; 0, G18/I18, "")</f>
        <v/>
      </c>
    </row>
    <row r="19" spans="1:10" s="1" customFormat="1" ht="15.75" customHeight="1" thickBot="1">
      <c r="A19" s="1164" t="s">
        <v>499</v>
      </c>
      <c r="B19" s="1165"/>
      <c r="C19" s="1165"/>
      <c r="D19" s="1165"/>
      <c r="E19" s="1165"/>
      <c r="F19" s="1166"/>
      <c r="G19" s="1158"/>
      <c r="H19" s="1158"/>
      <c r="I19" s="1158"/>
      <c r="J19" s="1160"/>
    </row>
    <row r="20" spans="1:10" s="1" customFormat="1" ht="16.5" customHeight="1" thickTop="1">
      <c r="A20" s="1154" t="s">
        <v>33</v>
      </c>
      <c r="B20" s="1155"/>
      <c r="C20" s="1155"/>
      <c r="D20" s="1155"/>
      <c r="E20" s="1155"/>
      <c r="F20" s="1156"/>
      <c r="G20" s="1157">
        <f>IF(AND(CCADAFCcontractNumber=""),0,Standard_V_Total_Yes)</f>
        <v>0</v>
      </c>
      <c r="H20" s="1157">
        <f>IF(AND(CCADAFCcontractNumber=""),0,Standard_V_Total_No)</f>
        <v>0</v>
      </c>
      <c r="I20" s="1157">
        <f>G20+H20</f>
        <v>0</v>
      </c>
      <c r="J20" s="1159" t="str">
        <f t="shared" ref="J20" si="3">IF(I20 &lt;&gt; 0, G20/I20, "")</f>
        <v/>
      </c>
    </row>
    <row r="21" spans="1:10" s="1" customFormat="1" ht="15.75" customHeight="1" thickBot="1">
      <c r="A21" s="1164" t="s">
        <v>171</v>
      </c>
      <c r="B21" s="1165"/>
      <c r="C21" s="1165"/>
      <c r="D21" s="1165"/>
      <c r="E21" s="1165"/>
      <c r="F21" s="1166"/>
      <c r="G21" s="1158"/>
      <c r="H21" s="1158"/>
      <c r="I21" s="1158"/>
      <c r="J21" s="1160"/>
    </row>
    <row r="22" spans="1:10" s="1" customFormat="1" ht="16.5" customHeight="1" thickTop="1">
      <c r="A22" s="1154" t="s">
        <v>34</v>
      </c>
      <c r="B22" s="1155"/>
      <c r="C22" s="1155"/>
      <c r="D22" s="1155"/>
      <c r="E22" s="1155"/>
      <c r="F22" s="1156"/>
      <c r="G22" s="1157">
        <f>IF(AND(CCADAFCcontractNumber=""),0,IF(Standard_VI = "Y", 1, 0))</f>
        <v>0</v>
      </c>
      <c r="H22" s="1157">
        <f>IF(AND(CCADAFCcontractNumber=""),0,IF(Standard_VI = "N", 1, 0))</f>
        <v>0</v>
      </c>
      <c r="I22" s="1157">
        <f>G22+H22</f>
        <v>0</v>
      </c>
      <c r="J22" s="1159" t="str">
        <f t="shared" ref="J22" si="4">IF(I22 &lt;&gt; 0, G22/I22, "")</f>
        <v/>
      </c>
    </row>
    <row r="23" spans="1:10" s="1" customFormat="1" ht="15.75" customHeight="1" thickBot="1">
      <c r="A23" s="1164" t="s">
        <v>172</v>
      </c>
      <c r="B23" s="1165"/>
      <c r="C23" s="1165"/>
      <c r="D23" s="1165"/>
      <c r="E23" s="1165"/>
      <c r="F23" s="1166"/>
      <c r="G23" s="1158"/>
      <c r="H23" s="1158"/>
      <c r="I23" s="1158"/>
      <c r="J23" s="1160"/>
    </row>
    <row r="24" spans="1:10" s="1" customFormat="1" ht="16.5" customHeight="1" thickTop="1">
      <c r="A24" s="1154" t="s">
        <v>35</v>
      </c>
      <c r="B24" s="1155"/>
      <c r="C24" s="1155"/>
      <c r="D24" s="1155"/>
      <c r="E24" s="1155"/>
      <c r="F24" s="1156"/>
      <c r="G24" s="1157">
        <f>IF(AND(CCADAFCcontractNumber=""),0,Standard_VII_Total_Yes)</f>
        <v>0</v>
      </c>
      <c r="H24" s="1157">
        <f>IF(AND(CCADAFCcontractNumber=""),0,Standard_VII_Total_No)</f>
        <v>0</v>
      </c>
      <c r="I24" s="1157">
        <f>G24+H24</f>
        <v>0</v>
      </c>
      <c r="J24" s="1159" t="str">
        <f t="shared" ref="J24" si="5">IF(I24 &lt;&gt; 0, G24/I24, "")</f>
        <v/>
      </c>
    </row>
    <row r="25" spans="1:10" s="1" customFormat="1" ht="16.5" customHeight="1" thickBot="1">
      <c r="A25" s="1164" t="s">
        <v>173</v>
      </c>
      <c r="B25" s="1165"/>
      <c r="C25" s="1165"/>
      <c r="D25" s="1165"/>
      <c r="E25" s="1165"/>
      <c r="F25" s="1166"/>
      <c r="G25" s="1158"/>
      <c r="H25" s="1158"/>
      <c r="I25" s="1158"/>
      <c r="J25" s="1160"/>
    </row>
    <row r="26" spans="1:10" s="1" customFormat="1" ht="16.5" customHeight="1" thickTop="1">
      <c r="A26" s="1154" t="s">
        <v>36</v>
      </c>
      <c r="B26" s="1155"/>
      <c r="C26" s="1155"/>
      <c r="D26" s="1155"/>
      <c r="E26" s="1155"/>
      <c r="F26" s="1156"/>
      <c r="G26" s="1157">
        <f>IF(AND(CCADAFCcontractNumber=""),0,IF(Standard_VIII = "Y", 1, 0))</f>
        <v>0</v>
      </c>
      <c r="H26" s="1157">
        <f>IF(AND(CCADAFCcontractNumber=""),0,IF(Standard_VIII = "N", 1, 0))</f>
        <v>0</v>
      </c>
      <c r="I26" s="1157">
        <f>G26+H26</f>
        <v>0</v>
      </c>
      <c r="J26" s="1159" t="str">
        <f t="shared" ref="J26" si="6">IF(I26 &lt;&gt; 0, G26/I26, "")</f>
        <v/>
      </c>
    </row>
    <row r="27" spans="1:10" s="1" customFormat="1" ht="16.5" customHeight="1" thickBot="1">
      <c r="A27" s="1164" t="s">
        <v>174</v>
      </c>
      <c r="B27" s="1165"/>
      <c r="C27" s="1165"/>
      <c r="D27" s="1165"/>
      <c r="E27" s="1165"/>
      <c r="F27" s="1166"/>
      <c r="G27" s="1158"/>
      <c r="H27" s="1158"/>
      <c r="I27" s="1158"/>
      <c r="J27" s="1160"/>
    </row>
    <row r="28" spans="1:10" s="1" customFormat="1" ht="16.5" customHeight="1" thickTop="1">
      <c r="A28" s="1154" t="s">
        <v>37</v>
      </c>
      <c r="B28" s="1155"/>
      <c r="C28" s="1155"/>
      <c r="D28" s="1155"/>
      <c r="E28" s="1155"/>
      <c r="F28" s="1156"/>
      <c r="G28" s="1157">
        <f>IF(AND(CCADAFCcontractNumber=""),0,Standard_IX_Total_Yes)</f>
        <v>0</v>
      </c>
      <c r="H28" s="1157">
        <f>IF(AND(CCADAFCcontractNumber=""),0,Standard_IX_Total_No)</f>
        <v>0</v>
      </c>
      <c r="I28" s="1157">
        <f>G28+H28</f>
        <v>0</v>
      </c>
      <c r="J28" s="1159" t="str">
        <f t="shared" ref="J28" si="7">IF(I28 &lt;&gt; 0, G28/I28, "")</f>
        <v/>
      </c>
    </row>
    <row r="29" spans="1:10" s="1" customFormat="1" ht="15.75" customHeight="1" thickBot="1">
      <c r="A29" s="1164" t="s">
        <v>175</v>
      </c>
      <c r="B29" s="1165"/>
      <c r="C29" s="1165"/>
      <c r="D29" s="1165"/>
      <c r="E29" s="1165"/>
      <c r="F29" s="1166"/>
      <c r="G29" s="1158"/>
      <c r="H29" s="1158"/>
      <c r="I29" s="1158"/>
      <c r="J29" s="1160"/>
    </row>
    <row r="30" spans="1:10" s="1" customFormat="1" ht="16.5" customHeight="1" thickTop="1">
      <c r="A30" s="1154" t="s">
        <v>167</v>
      </c>
      <c r="B30" s="1155"/>
      <c r="C30" s="1155"/>
      <c r="D30" s="1155"/>
      <c r="E30" s="1155"/>
      <c r="F30" s="1156"/>
      <c r="G30" s="1157">
        <f>IF(AND(CCADAFCcontractNumber=""),0,Standard_X_Total_Yes)</f>
        <v>0</v>
      </c>
      <c r="H30" s="1157">
        <f>IF(AND(CCADAFCcontractNumber=""),0,Standard_X_Total_No)</f>
        <v>0</v>
      </c>
      <c r="I30" s="1157">
        <f>G30+H30</f>
        <v>0</v>
      </c>
      <c r="J30" s="1159" t="str">
        <f t="shared" ref="J30" si="8">IF(I30 &lt;&gt; 0, G30/I30, "")</f>
        <v/>
      </c>
    </row>
    <row r="31" spans="1:10" s="1" customFormat="1" ht="15.75" customHeight="1" thickBot="1">
      <c r="A31" s="1164" t="s">
        <v>176</v>
      </c>
      <c r="B31" s="1165"/>
      <c r="C31" s="1165"/>
      <c r="D31" s="1165"/>
      <c r="E31" s="1165"/>
      <c r="F31" s="1166"/>
      <c r="G31" s="1158"/>
      <c r="H31" s="1158"/>
      <c r="I31" s="1158"/>
      <c r="J31" s="1160"/>
    </row>
    <row r="32" spans="1:10" s="1" customFormat="1" ht="15.75" customHeight="1" thickTop="1">
      <c r="A32" s="1154" t="s">
        <v>168</v>
      </c>
      <c r="B32" s="1155"/>
      <c r="C32" s="1155"/>
      <c r="D32" s="1155"/>
      <c r="E32" s="1155"/>
      <c r="F32" s="1156"/>
      <c r="G32" s="1157">
        <f>IF(AND(CCADAFCcontractNumber=""),0,Standard_XI_Total_Yes)</f>
        <v>0</v>
      </c>
      <c r="H32" s="1157">
        <f>IF(AND(CCADAFCcontractNumber=""),0,Standard_XI_Total_No)</f>
        <v>0</v>
      </c>
      <c r="I32" s="1157">
        <f>G32+H32</f>
        <v>0</v>
      </c>
      <c r="J32" s="1159" t="str">
        <f t="shared" ref="J32" si="9">IF(I32 &lt;&gt; 0, G32/I32, "")</f>
        <v/>
      </c>
    </row>
    <row r="33" spans="1:10" s="1" customFormat="1" ht="16" thickBot="1">
      <c r="A33" s="1164" t="s">
        <v>177</v>
      </c>
      <c r="B33" s="1165"/>
      <c r="C33" s="1165"/>
      <c r="D33" s="1165"/>
      <c r="E33" s="1165"/>
      <c r="F33" s="1166"/>
      <c r="G33" s="1158"/>
      <c r="H33" s="1158"/>
      <c r="I33" s="1158"/>
      <c r="J33" s="1160"/>
    </row>
    <row r="34" spans="1:10" s="1" customFormat="1" ht="16.5" customHeight="1" thickTop="1" thickBot="1">
      <c r="A34" s="1151" t="s">
        <v>166</v>
      </c>
      <c r="B34" s="1152"/>
      <c r="C34" s="1152"/>
      <c r="D34" s="1152"/>
      <c r="E34" s="1152"/>
      <c r="F34" s="1153"/>
      <c r="G34" s="30">
        <f>SUM(G12:G33)</f>
        <v>0</v>
      </c>
      <c r="H34" s="30">
        <f>SUM(H12:H33)</f>
        <v>0</v>
      </c>
      <c r="I34" s="30">
        <f>SUM(I12:I33)</f>
        <v>0</v>
      </c>
      <c r="J34" s="31" t="str">
        <f>IF(ReviewLevel="FULL",IF(I34 &lt;&gt; 0, G34/I34, ""),"")</f>
        <v/>
      </c>
    </row>
    <row r="35" spans="1:10" s="1" customFormat="1" ht="16.5" customHeight="1" thickTop="1" thickBot="1">
      <c r="A35" s="1145" t="s">
        <v>179</v>
      </c>
      <c r="B35" s="1146"/>
      <c r="C35" s="1146"/>
      <c r="D35" s="1146"/>
      <c r="E35" s="1146"/>
      <c r="F35" s="1147"/>
      <c r="G35" s="1161" t="s">
        <v>402</v>
      </c>
      <c r="H35" s="1162"/>
      <c r="I35" s="1161" t="s">
        <v>403</v>
      </c>
      <c r="J35" s="1162"/>
    </row>
    <row r="36" spans="1:10" s="1" customFormat="1" ht="18" customHeight="1" thickBot="1">
      <c r="A36" s="1148"/>
      <c r="B36" s="1149"/>
      <c r="C36" s="1149"/>
      <c r="D36" s="1149"/>
      <c r="E36" s="1149"/>
      <c r="F36" s="1150"/>
      <c r="G36" s="1163">
        <f>IF(AND(CCADAFCcontractNumber=""),0,'Demand for Pmt. Notice (Print)'!H10)</f>
        <v>0</v>
      </c>
      <c r="H36" s="715"/>
      <c r="I36" s="1163">
        <f>IF(AND(CCADAFCcontractNumber=""),0,'Demand for Pmt. Notice (Print)'!H11)</f>
        <v>0</v>
      </c>
      <c r="J36" s="715"/>
    </row>
    <row r="37" spans="1:10" s="1" customFormat="1" ht="33.75" customHeight="1" thickTop="1">
      <c r="A37" s="1167" t="s">
        <v>1018</v>
      </c>
      <c r="B37" s="1168"/>
      <c r="C37" s="1168"/>
      <c r="D37" s="1168"/>
      <c r="E37" s="1168"/>
      <c r="F37" s="1169"/>
      <c r="G37" s="1139" t="s">
        <v>178</v>
      </c>
      <c r="H37" s="1139"/>
      <c r="I37" s="1141">
        <f>SUM(G36,I36)</f>
        <v>0</v>
      </c>
      <c r="J37" s="1142"/>
    </row>
    <row r="38" spans="1:10" s="1" customFormat="1" ht="16.5" customHeight="1" thickBot="1">
      <c r="A38" s="1170"/>
      <c r="B38" s="1171"/>
      <c r="C38" s="1171"/>
      <c r="D38" s="1171"/>
      <c r="E38" s="1171"/>
      <c r="F38" s="1172"/>
      <c r="G38" s="1140"/>
      <c r="H38" s="1140"/>
      <c r="I38" s="1143"/>
      <c r="J38" s="1144"/>
    </row>
    <row r="39" spans="1:10" ht="15" thickTop="1"/>
  </sheetData>
  <sheetProtection algorithmName="SHA-512" hashValue="rl4dMeHi+StMYilQQo0xq9bysgz1x8+Gs3OvNTz2n/bP8u+gfOfqST8V9h+3urbdbTga3d2Ul8HG1tL1DYu0MQ==" saltValue="eUHG7nljo0AIcpx527RWyQ==" spinCount="100000" sheet="1" selectLockedCells="1"/>
  <customSheetViews>
    <customSheetView guid="{E1D23BD2-FE11-448B-A102-D2461140BE5A}" fitToPage="1">
      <selection activeCell="F6" sqref="F6:J7"/>
      <pageMargins left="0.5" right="0.5" top="1" bottom="0.75" header="0.25" footer="0.25"/>
      <printOptions horizontalCentered="1"/>
      <pageSetup scale="84" orientation="portrait" r:id="rId1"/>
      <headerFooter>
        <oddHeader>&amp;L&amp;"Arial,Regular"&amp;8Texas Department of Aging
and Disability Services&amp;C&amp;"Arial,Bold"&amp;12ADULT FOSTER CARE
AFC COMPLIANCE SUMMARY&amp;R&amp;"Arial,Regular"&amp;8Form TBD
Page &amp;P</oddHeader>
      </headerFooter>
    </customSheetView>
    <customSheetView guid="{B71FF06E-B5A8-4FBF-B20E-2B604DE9BFBD}" fitToPage="1">
      <selection activeCell="I2" sqref="I2:J2"/>
      <pageMargins left="0.5" right="0.5" top="1" bottom="0.75" header="0.25" footer="0.25"/>
      <printOptions horizontalCentered="1"/>
      <pageSetup scale="84" orientation="portrait" r:id="rId2"/>
      <headerFooter>
        <oddHeader>&amp;L&amp;"Arial,Regular"&amp;8Texas Department of Aging
and Disability Services&amp;C&amp;"Arial,Bold"&amp;12ADULT FOSTER CARE
AFC COMPLIANCE SUMMARY&amp;R&amp;"Arial,Regular"&amp;8Form TBD
Page &amp;P</oddHeader>
      </headerFooter>
    </customSheetView>
  </customSheetViews>
  <mergeCells count="101">
    <mergeCell ref="A24:F24"/>
    <mergeCell ref="A31:F31"/>
    <mergeCell ref="A30:F30"/>
    <mergeCell ref="A29:F29"/>
    <mergeCell ref="A28:F28"/>
    <mergeCell ref="A13:F13"/>
    <mergeCell ref="A16:F16"/>
    <mergeCell ref="G16:G17"/>
    <mergeCell ref="A17:F17"/>
    <mergeCell ref="A18:F18"/>
    <mergeCell ref="A25:F25"/>
    <mergeCell ref="A27:F27"/>
    <mergeCell ref="A26:F26"/>
    <mergeCell ref="I3:J3"/>
    <mergeCell ref="F6:J7"/>
    <mergeCell ref="A6:B6"/>
    <mergeCell ref="C6:E6"/>
    <mergeCell ref="G5:H5"/>
    <mergeCell ref="A9:F11"/>
    <mergeCell ref="G10:G11"/>
    <mergeCell ref="H10:H11"/>
    <mergeCell ref="A8:J8"/>
    <mergeCell ref="I14:I15"/>
    <mergeCell ref="A22:F22"/>
    <mergeCell ref="G22:G23"/>
    <mergeCell ref="H22:H23"/>
    <mergeCell ref="I22:I23"/>
    <mergeCell ref="J22:J23"/>
    <mergeCell ref="A23:F23"/>
    <mergeCell ref="A1:F1"/>
    <mergeCell ref="G1:H1"/>
    <mergeCell ref="I1:J1"/>
    <mergeCell ref="A2:F2"/>
    <mergeCell ref="G2:H2"/>
    <mergeCell ref="I2:J2"/>
    <mergeCell ref="A3:B3"/>
    <mergeCell ref="C3:D3"/>
    <mergeCell ref="A7:B7"/>
    <mergeCell ref="C7:E7"/>
    <mergeCell ref="C4:D4"/>
    <mergeCell ref="C5:D5"/>
    <mergeCell ref="E3:F3"/>
    <mergeCell ref="E4:F4"/>
    <mergeCell ref="E5:F5"/>
    <mergeCell ref="G3:H3"/>
    <mergeCell ref="G4:H4"/>
    <mergeCell ref="A12:F12"/>
    <mergeCell ref="G12:G13"/>
    <mergeCell ref="H12:H13"/>
    <mergeCell ref="J20:J21"/>
    <mergeCell ref="A14:F14"/>
    <mergeCell ref="J14:J15"/>
    <mergeCell ref="A15:F15"/>
    <mergeCell ref="G18:G19"/>
    <mergeCell ref="A19:F19"/>
    <mergeCell ref="A20:F20"/>
    <mergeCell ref="G20:G21"/>
    <mergeCell ref="A21:F21"/>
    <mergeCell ref="H16:H17"/>
    <mergeCell ref="I16:I17"/>
    <mergeCell ref="H18:H19"/>
    <mergeCell ref="G14:G15"/>
    <mergeCell ref="J12:J13"/>
    <mergeCell ref="H20:H21"/>
    <mergeCell ref="I20:I21"/>
    <mergeCell ref="I12:I13"/>
    <mergeCell ref="I18:I19"/>
    <mergeCell ref="J16:J17"/>
    <mergeCell ref="J18:J19"/>
    <mergeCell ref="H14:H15"/>
    <mergeCell ref="I30:I31"/>
    <mergeCell ref="J30:J31"/>
    <mergeCell ref="H24:H25"/>
    <mergeCell ref="I24:I25"/>
    <mergeCell ref="J24:J25"/>
    <mergeCell ref="J26:J27"/>
    <mergeCell ref="G26:G27"/>
    <mergeCell ref="H26:H27"/>
    <mergeCell ref="H30:H31"/>
    <mergeCell ref="G24:G25"/>
    <mergeCell ref="G28:G29"/>
    <mergeCell ref="H28:H29"/>
    <mergeCell ref="I28:I29"/>
    <mergeCell ref="J28:J29"/>
    <mergeCell ref="G30:G31"/>
    <mergeCell ref="I26:I27"/>
    <mergeCell ref="G37:H38"/>
    <mergeCell ref="I37:J38"/>
    <mergeCell ref="A35:F36"/>
    <mergeCell ref="A34:F34"/>
    <mergeCell ref="A32:F32"/>
    <mergeCell ref="G32:G33"/>
    <mergeCell ref="H32:H33"/>
    <mergeCell ref="I32:I33"/>
    <mergeCell ref="J32:J33"/>
    <mergeCell ref="G35:H35"/>
    <mergeCell ref="I35:J35"/>
    <mergeCell ref="G36:H36"/>
    <mergeCell ref="I36:J36"/>
    <mergeCell ref="A33:F33"/>
    <mergeCell ref="A37:F38"/>
  </mergeCells>
  <conditionalFormatting sqref="J12:J33">
    <cfRule type="cellIs" dxfId="3" priority="1" operator="between">
      <formula>0</formula>
      <formula>0.9</formula>
    </cfRule>
  </conditionalFormatting>
  <conditionalFormatting sqref="J34">
    <cfRule type="cellIs" dxfId="2" priority="36" operator="lessThan">
      <formula>0.9</formula>
    </cfRule>
  </conditionalFormatting>
  <printOptions horizontalCentered="1"/>
  <pageMargins left="0.5" right="0.5" top="1" bottom="0.75" header="0.25" footer="0.25"/>
  <pageSetup scale="84" orientation="portrait" r:id="rId3"/>
  <headerFooter>
    <oddHeader>&amp;L&amp;"Arial,Regular"&amp;8Texas Department of Aging
and Disability Services&amp;C&amp;"Arial,Bold"&amp;12ADULT FOSTER CARE
AFC COMPLIANCE SUMMARY&amp;R&amp;"Arial,Regular"&amp;8Form TBD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38"/>
  <sheetViews>
    <sheetView workbookViewId="0">
      <selection sqref="A1:F1"/>
    </sheetView>
  </sheetViews>
  <sheetFormatPr defaultRowHeight="14.5"/>
  <cols>
    <col min="1" max="1" width="8.81640625" bestFit="1" customWidth="1"/>
    <col min="2" max="2" width="16.1796875" customWidth="1"/>
    <col min="7" max="7" width="9.1796875" bestFit="1" customWidth="1"/>
    <col min="8" max="8" width="6.81640625" customWidth="1"/>
    <col min="9" max="9" width="6.1796875" bestFit="1" customWidth="1"/>
    <col min="10" max="10" width="17.81640625" customWidth="1"/>
  </cols>
  <sheetData>
    <row r="1" spans="1:10" s="1" customFormat="1" ht="16" thickTop="1">
      <c r="A1" s="592" t="s">
        <v>0</v>
      </c>
      <c r="B1" s="593"/>
      <c r="C1" s="593"/>
      <c r="D1" s="593"/>
      <c r="E1" s="593"/>
      <c r="F1" s="594"/>
      <c r="G1" s="1176" t="s">
        <v>1</v>
      </c>
      <c r="H1" s="596"/>
      <c r="I1" s="1176" t="s">
        <v>2</v>
      </c>
      <c r="J1" s="596"/>
    </row>
    <row r="2" spans="1:10" s="1" customFormat="1" ht="16" thickBot="1">
      <c r="A2" s="1177" t="str">
        <f>IF(CBAOHRcontractNumber="","",NameOfLegalEntity)</f>
        <v/>
      </c>
      <c r="B2" s="1178"/>
      <c r="C2" s="1178"/>
      <c r="D2" s="1178"/>
      <c r="E2" s="1178"/>
      <c r="F2" s="1179"/>
      <c r="G2" s="1180" t="str">
        <f>IF(CBAOHRcontractNumber="","",ReviewLevel)</f>
        <v/>
      </c>
      <c r="H2" s="1181"/>
      <c r="I2" s="1180" t="str">
        <f>IF(CBAOHRcontractNumber="","",ReviewType)</f>
        <v/>
      </c>
      <c r="J2" s="1181"/>
    </row>
    <row r="3" spans="1:10" s="1" customFormat="1" ht="15.5">
      <c r="A3" s="609" t="s">
        <v>3</v>
      </c>
      <c r="B3" s="620"/>
      <c r="C3" s="1207" t="s">
        <v>4</v>
      </c>
      <c r="D3" s="619"/>
      <c r="E3" s="609" t="s">
        <v>894</v>
      </c>
      <c r="F3" s="610"/>
      <c r="G3" s="609" t="s">
        <v>894</v>
      </c>
      <c r="H3" s="610"/>
      <c r="I3" s="609" t="s">
        <v>939</v>
      </c>
      <c r="J3" s="610"/>
    </row>
    <row r="4" spans="1:10" s="1" customFormat="1" ht="15.5">
      <c r="A4" s="224" t="s">
        <v>6</v>
      </c>
      <c r="B4" s="231" t="str">
        <f>IF(CBAOHRcontractNumber="","",CompletedByLastName)</f>
        <v/>
      </c>
      <c r="C4" s="1208" t="s">
        <v>7</v>
      </c>
      <c r="D4" s="1209"/>
      <c r="E4" s="615" t="s">
        <v>895</v>
      </c>
      <c r="F4" s="616"/>
      <c r="G4" s="615" t="s">
        <v>991</v>
      </c>
      <c r="H4" s="616"/>
      <c r="I4" s="226" t="s">
        <v>8</v>
      </c>
      <c r="J4" s="228" t="str">
        <f>IF(CBAOHRcontractNumber="","",IF(DateOfMonitoringPeriodBegin="","",DateOfMonitoringPeriodBegin))</f>
        <v/>
      </c>
    </row>
    <row r="5" spans="1:10" s="1" customFormat="1" ht="16" thickBot="1">
      <c r="A5" s="225" t="s">
        <v>9</v>
      </c>
      <c r="B5" s="232" t="str">
        <f>IF(CBAOHRcontractNumber="","",CompletedByFirstName)</f>
        <v/>
      </c>
      <c r="C5" s="1210" t="str">
        <f>IF(CBAOHRcontractNumber="","",IF(DateOfEntrance="","",DateOfEntrance))</f>
        <v/>
      </c>
      <c r="D5" s="1211"/>
      <c r="E5" s="1189" t="str">
        <f>IF(CBAOHRcontractNumber="","",IF(DateOfExit="","",DateOfExit))</f>
        <v/>
      </c>
      <c r="F5" s="1190"/>
      <c r="G5" s="1189" t="str">
        <f>IF(CBAOHRcontractNumber="","",IF(DateOfRevisedExit="", "", DateOfRevisedExit))</f>
        <v/>
      </c>
      <c r="H5" s="1190"/>
      <c r="I5" s="213" t="s">
        <v>10</v>
      </c>
      <c r="J5" s="230" t="str">
        <f>IF(CBAOHRcontractNumber="","",IF(DateOfMonitoringPeriodEnd="","",DateOfMonitoringPeriodEnd))</f>
        <v/>
      </c>
    </row>
    <row r="6" spans="1:10" s="1" customFormat="1" ht="16" thickBot="1">
      <c r="A6" s="1191"/>
      <c r="B6" s="1192"/>
      <c r="C6" s="1192"/>
      <c r="D6" s="1192"/>
      <c r="E6" s="1193"/>
      <c r="F6" s="1194" t="s">
        <v>11</v>
      </c>
      <c r="G6" s="1195"/>
      <c r="H6" s="1195" t="s">
        <v>49</v>
      </c>
      <c r="I6" s="1195"/>
      <c r="J6" s="1196"/>
    </row>
    <row r="7" spans="1:10" s="1" customFormat="1" ht="16" thickBot="1">
      <c r="A7" s="1191"/>
      <c r="B7" s="1192"/>
      <c r="C7" s="1192"/>
      <c r="D7" s="1192"/>
      <c r="E7" s="1193"/>
      <c r="F7" s="1182" t="s">
        <v>69</v>
      </c>
      <c r="G7" s="1183"/>
      <c r="H7" s="1184">
        <f>CBAOHRcontractNumber</f>
        <v>0</v>
      </c>
      <c r="I7" s="1185"/>
      <c r="J7" s="1186"/>
    </row>
    <row r="8" spans="1:10" s="1" customFormat="1" ht="16.5" thickTop="1" thickBot="1">
      <c r="A8" s="513" t="s">
        <v>500</v>
      </c>
      <c r="B8" s="514"/>
      <c r="C8" s="514"/>
      <c r="D8" s="514"/>
      <c r="E8" s="514"/>
      <c r="F8" s="514"/>
      <c r="G8" s="514"/>
      <c r="H8" s="514"/>
      <c r="I8" s="514"/>
      <c r="J8" s="515"/>
    </row>
    <row r="9" spans="1:10" s="1" customFormat="1" ht="16" thickTop="1">
      <c r="A9" s="631" t="s">
        <v>20</v>
      </c>
      <c r="B9" s="632"/>
      <c r="C9" s="632"/>
      <c r="D9" s="632"/>
      <c r="E9" s="632"/>
      <c r="F9" s="633"/>
      <c r="G9" s="151" t="s">
        <v>21</v>
      </c>
      <c r="H9" s="151" t="s">
        <v>22</v>
      </c>
      <c r="I9" s="151" t="s">
        <v>23</v>
      </c>
      <c r="J9" s="151" t="s">
        <v>24</v>
      </c>
    </row>
    <row r="10" spans="1:10" s="1" customFormat="1" ht="15.5">
      <c r="A10" s="1199"/>
      <c r="B10" s="1200"/>
      <c r="C10" s="1200"/>
      <c r="D10" s="1200"/>
      <c r="E10" s="1200"/>
      <c r="F10" s="1201"/>
      <c r="G10" s="1205" t="s">
        <v>15</v>
      </c>
      <c r="H10" s="1205" t="s">
        <v>16</v>
      </c>
      <c r="I10" s="152" t="s">
        <v>25</v>
      </c>
      <c r="J10" s="152" t="s">
        <v>26</v>
      </c>
    </row>
    <row r="11" spans="1:10" s="1" customFormat="1" ht="16" thickBot="1">
      <c r="A11" s="1202"/>
      <c r="B11" s="1203"/>
      <c r="C11" s="1203"/>
      <c r="D11" s="1203"/>
      <c r="E11" s="1203"/>
      <c r="F11" s="1204"/>
      <c r="G11" s="1206"/>
      <c r="H11" s="1206"/>
      <c r="I11" s="153" t="s">
        <v>27</v>
      </c>
      <c r="J11" s="153" t="s">
        <v>28</v>
      </c>
    </row>
    <row r="12" spans="1:10" s="1" customFormat="1" ht="16" thickTop="1">
      <c r="A12" s="1173" t="s">
        <v>29</v>
      </c>
      <c r="B12" s="1174"/>
      <c r="C12" s="1174"/>
      <c r="D12" s="1174"/>
      <c r="E12" s="1174"/>
      <c r="F12" s="1175"/>
      <c r="G12" s="1157">
        <f xml:space="preserve"> IF(CBAOHRcontractNumber="",0,Standard_I_Total_Yes)</f>
        <v>0</v>
      </c>
      <c r="H12" s="1157">
        <f xml:space="preserve"> IF(CBAOHRcontractNumber="",0,Standard_I_Total_No)</f>
        <v>0</v>
      </c>
      <c r="I12" s="1157">
        <f xml:space="preserve"> G12+H12</f>
        <v>0</v>
      </c>
      <c r="J12" s="1159" t="str">
        <f>IF(I12 &lt;&gt; 0, G12/I12, "")</f>
        <v/>
      </c>
    </row>
    <row r="13" spans="1:10" s="1" customFormat="1" ht="16" thickBot="1">
      <c r="A13" s="1164" t="s">
        <v>169</v>
      </c>
      <c r="B13" s="1165"/>
      <c r="C13" s="1165"/>
      <c r="D13" s="1165"/>
      <c r="E13" s="1165"/>
      <c r="F13" s="1166"/>
      <c r="G13" s="1158"/>
      <c r="H13" s="1158"/>
      <c r="I13" s="1158"/>
      <c r="J13" s="1160"/>
    </row>
    <row r="14" spans="1:10" s="1" customFormat="1" ht="16" thickTop="1">
      <c r="A14" s="1154" t="s">
        <v>30</v>
      </c>
      <c r="B14" s="1155"/>
      <c r="C14" s="1155"/>
      <c r="D14" s="1155"/>
      <c r="E14" s="1155"/>
      <c r="F14" s="1156"/>
      <c r="G14" s="1157">
        <f xml:space="preserve"> IF(CBAOHRcontractNumber="",0, Standard_II_Total_Yes)</f>
        <v>0</v>
      </c>
      <c r="H14" s="1157">
        <f xml:space="preserve"> IF(CBAOHRcontractNumber="",0,Standard_II_Total_No)</f>
        <v>0</v>
      </c>
      <c r="I14" s="1157">
        <f>G14+H14</f>
        <v>0</v>
      </c>
      <c r="J14" s="1159" t="str">
        <f t="shared" ref="J14" si="0">IF(I14 &lt;&gt; 0, G14/I14, "")</f>
        <v/>
      </c>
    </row>
    <row r="15" spans="1:10" s="1" customFormat="1" ht="16" thickBot="1">
      <c r="A15" s="1164" t="s">
        <v>498</v>
      </c>
      <c r="B15" s="1165"/>
      <c r="C15" s="1165"/>
      <c r="D15" s="1165"/>
      <c r="E15" s="1165"/>
      <c r="F15" s="1166"/>
      <c r="G15" s="1158"/>
      <c r="H15" s="1158"/>
      <c r="I15" s="1158"/>
      <c r="J15" s="1160"/>
    </row>
    <row r="16" spans="1:10" s="1" customFormat="1" ht="16" thickTop="1">
      <c r="A16" s="1154" t="s">
        <v>31</v>
      </c>
      <c r="B16" s="1155"/>
      <c r="C16" s="1155"/>
      <c r="D16" s="1155"/>
      <c r="E16" s="1155"/>
      <c r="F16" s="1156"/>
      <c r="G16" s="1157">
        <f xml:space="preserve"> IF(CBAOHRcontractNumber="",0,Standard_III_Total_Yes)</f>
        <v>0</v>
      </c>
      <c r="H16" s="1157">
        <f xml:space="preserve"> IF(CBAOHRcontractNumber="",0,Standard_III_Total_No)</f>
        <v>0</v>
      </c>
      <c r="I16" s="1157">
        <f>G16+H16</f>
        <v>0</v>
      </c>
      <c r="J16" s="1159" t="str">
        <f t="shared" ref="J16" si="1">IF(I16 &lt;&gt; 0, G16/I16, "")</f>
        <v/>
      </c>
    </row>
    <row r="17" spans="1:10" s="1" customFormat="1" ht="16" thickBot="1">
      <c r="A17" s="1164" t="s">
        <v>170</v>
      </c>
      <c r="B17" s="1165"/>
      <c r="C17" s="1165"/>
      <c r="D17" s="1165"/>
      <c r="E17" s="1165"/>
      <c r="F17" s="1166"/>
      <c r="G17" s="1158"/>
      <c r="H17" s="1158"/>
      <c r="I17" s="1158"/>
      <c r="J17" s="1160"/>
    </row>
    <row r="18" spans="1:10" s="1" customFormat="1" ht="16" thickTop="1">
      <c r="A18" s="1154" t="s">
        <v>32</v>
      </c>
      <c r="B18" s="1155"/>
      <c r="C18" s="1155"/>
      <c r="D18" s="1155"/>
      <c r="E18" s="1155"/>
      <c r="F18" s="1156"/>
      <c r="G18" s="1157">
        <f xml:space="preserve"> IF(CBAOHRcontractNumber="",0,Standard_IV_Total_Yes)</f>
        <v>0</v>
      </c>
      <c r="H18" s="1157">
        <f xml:space="preserve"> IF(CBAOHRcontractNumber="",0,Standard_IV_Total_No)</f>
        <v>0</v>
      </c>
      <c r="I18" s="1157">
        <f>G18+H18</f>
        <v>0</v>
      </c>
      <c r="J18" s="1159" t="str">
        <f t="shared" ref="J18" si="2">IF(I18 &lt;&gt; 0, G18/I18, "")</f>
        <v/>
      </c>
    </row>
    <row r="19" spans="1:10" s="1" customFormat="1" ht="16" thickBot="1">
      <c r="A19" s="1164" t="s">
        <v>499</v>
      </c>
      <c r="B19" s="1165"/>
      <c r="C19" s="1165"/>
      <c r="D19" s="1165"/>
      <c r="E19" s="1165"/>
      <c r="F19" s="1166"/>
      <c r="G19" s="1158"/>
      <c r="H19" s="1158"/>
      <c r="I19" s="1158"/>
      <c r="J19" s="1160"/>
    </row>
    <row r="20" spans="1:10" s="1" customFormat="1" ht="16" thickTop="1">
      <c r="A20" s="1212" t="s">
        <v>33</v>
      </c>
      <c r="B20" s="1213"/>
      <c r="C20" s="1213"/>
      <c r="D20" s="1213"/>
      <c r="E20" s="1213"/>
      <c r="F20" s="1214"/>
      <c r="G20" s="80"/>
      <c r="H20" s="81"/>
      <c r="I20" s="81"/>
      <c r="J20" s="82"/>
    </row>
    <row r="21" spans="1:10" s="1" customFormat="1" ht="16" thickBot="1">
      <c r="A21" s="1215" t="s">
        <v>171</v>
      </c>
      <c r="B21" s="1216"/>
      <c r="C21" s="1216"/>
      <c r="D21" s="1216"/>
      <c r="E21" s="1216"/>
      <c r="F21" s="1217"/>
      <c r="G21" s="83"/>
      <c r="H21" s="84"/>
      <c r="I21" s="84"/>
      <c r="J21" s="85"/>
    </row>
    <row r="22" spans="1:10" s="1" customFormat="1" ht="16" thickTop="1">
      <c r="A22" s="1212" t="s">
        <v>34</v>
      </c>
      <c r="B22" s="1213"/>
      <c r="C22" s="1213"/>
      <c r="D22" s="1213"/>
      <c r="E22" s="1213"/>
      <c r="F22" s="1214"/>
      <c r="G22" s="83"/>
      <c r="H22" s="84"/>
      <c r="I22" s="84"/>
      <c r="J22" s="85"/>
    </row>
    <row r="23" spans="1:10" s="1" customFormat="1" ht="16" thickBot="1">
      <c r="A23" s="1215" t="s">
        <v>172</v>
      </c>
      <c r="B23" s="1216"/>
      <c r="C23" s="1216"/>
      <c r="D23" s="1216"/>
      <c r="E23" s="1216"/>
      <c r="F23" s="1217"/>
      <c r="G23" s="83"/>
      <c r="H23" s="84"/>
      <c r="I23" s="84"/>
      <c r="J23" s="85"/>
    </row>
    <row r="24" spans="1:10" s="1" customFormat="1" ht="16" thickTop="1">
      <c r="A24" s="1212" t="s">
        <v>35</v>
      </c>
      <c r="B24" s="1213"/>
      <c r="C24" s="1213"/>
      <c r="D24" s="1213"/>
      <c r="E24" s="1213"/>
      <c r="F24" s="1214"/>
      <c r="G24" s="83"/>
      <c r="H24" s="84"/>
      <c r="I24" s="84"/>
      <c r="J24" s="85"/>
    </row>
    <row r="25" spans="1:10" s="1" customFormat="1" ht="16" thickBot="1">
      <c r="A25" s="1215" t="s">
        <v>173</v>
      </c>
      <c r="B25" s="1216"/>
      <c r="C25" s="1216"/>
      <c r="D25" s="1216"/>
      <c r="E25" s="1216"/>
      <c r="F25" s="1217"/>
      <c r="G25" s="83"/>
      <c r="H25" s="84"/>
      <c r="I25" s="84"/>
      <c r="J25" s="85"/>
    </row>
    <row r="26" spans="1:10" s="1" customFormat="1" ht="16" thickTop="1">
      <c r="A26" s="1212" t="s">
        <v>36</v>
      </c>
      <c r="B26" s="1213"/>
      <c r="C26" s="1213"/>
      <c r="D26" s="1213"/>
      <c r="E26" s="1213"/>
      <c r="F26" s="1214"/>
      <c r="G26" s="83"/>
      <c r="H26" s="84"/>
      <c r="I26" s="84"/>
      <c r="J26" s="85"/>
    </row>
    <row r="27" spans="1:10" s="1" customFormat="1" ht="16" thickBot="1">
      <c r="A27" s="1215" t="s">
        <v>174</v>
      </c>
      <c r="B27" s="1216"/>
      <c r="C27" s="1216"/>
      <c r="D27" s="1216"/>
      <c r="E27" s="1216"/>
      <c r="F27" s="1217"/>
      <c r="G27" s="83"/>
      <c r="H27" s="84"/>
      <c r="I27" s="84"/>
      <c r="J27" s="85"/>
    </row>
    <row r="28" spans="1:10" s="1" customFormat="1" ht="16" thickTop="1">
      <c r="A28" s="1212" t="s">
        <v>37</v>
      </c>
      <c r="B28" s="1213"/>
      <c r="C28" s="1213"/>
      <c r="D28" s="1213"/>
      <c r="E28" s="1213"/>
      <c r="F28" s="1214"/>
      <c r="G28" s="83"/>
      <c r="H28" s="84"/>
      <c r="I28" s="84"/>
      <c r="J28" s="85"/>
    </row>
    <row r="29" spans="1:10" s="1" customFormat="1" ht="16" thickBot="1">
      <c r="A29" s="1215" t="s">
        <v>175</v>
      </c>
      <c r="B29" s="1216"/>
      <c r="C29" s="1216"/>
      <c r="D29" s="1216"/>
      <c r="E29" s="1216"/>
      <c r="F29" s="1217"/>
      <c r="G29" s="83"/>
      <c r="H29" s="84"/>
      <c r="I29" s="84"/>
      <c r="J29" s="85"/>
    </row>
    <row r="30" spans="1:10" s="1" customFormat="1" ht="16" thickTop="1">
      <c r="A30" s="1212" t="s">
        <v>167</v>
      </c>
      <c r="B30" s="1213"/>
      <c r="C30" s="1213"/>
      <c r="D30" s="1213"/>
      <c r="E30" s="1213"/>
      <c r="F30" s="1214"/>
      <c r="G30" s="83"/>
      <c r="H30" s="84"/>
      <c r="I30" s="84"/>
      <c r="J30" s="85"/>
    </row>
    <row r="31" spans="1:10" s="1" customFormat="1" ht="16" thickBot="1">
      <c r="A31" s="1215" t="s">
        <v>176</v>
      </c>
      <c r="B31" s="1216"/>
      <c r="C31" s="1216"/>
      <c r="D31" s="1216"/>
      <c r="E31" s="1216"/>
      <c r="F31" s="1217"/>
      <c r="G31" s="86"/>
      <c r="H31" s="87"/>
      <c r="I31" s="87"/>
      <c r="J31" s="88"/>
    </row>
    <row r="32" spans="1:10" s="1" customFormat="1" ht="16" thickTop="1">
      <c r="A32" s="1154" t="s">
        <v>168</v>
      </c>
      <c r="B32" s="1155"/>
      <c r="C32" s="1155"/>
      <c r="D32" s="1155"/>
      <c r="E32" s="1155"/>
      <c r="F32" s="1156"/>
      <c r="G32" s="1157">
        <f xml:space="preserve"> IF(CBAOHRcontractNumber="",0,Standard_XI_Total_Yes)</f>
        <v>0</v>
      </c>
      <c r="H32" s="1157">
        <f xml:space="preserve"> IF(CBAOHRcontractNumber="",0,Standard_XI_Total_No)</f>
        <v>0</v>
      </c>
      <c r="I32" s="1157">
        <f>G32+H32</f>
        <v>0</v>
      </c>
      <c r="J32" s="1159" t="str">
        <f t="shared" ref="J32" si="3">IF(I32 &lt;&gt; 0, G32/I32, "")</f>
        <v/>
      </c>
    </row>
    <row r="33" spans="1:10" s="1" customFormat="1" ht="16" thickBot="1">
      <c r="A33" s="1164" t="s">
        <v>177</v>
      </c>
      <c r="B33" s="1165"/>
      <c r="C33" s="1165"/>
      <c r="D33" s="1165"/>
      <c r="E33" s="1165"/>
      <c r="F33" s="1166"/>
      <c r="G33" s="1158"/>
      <c r="H33" s="1158"/>
      <c r="I33" s="1158"/>
      <c r="J33" s="1160"/>
    </row>
    <row r="34" spans="1:10" s="1" customFormat="1" ht="16.5" thickTop="1" thickBot="1">
      <c r="A34" s="1151" t="s">
        <v>166</v>
      </c>
      <c r="B34" s="1152"/>
      <c r="C34" s="1152"/>
      <c r="D34" s="1152"/>
      <c r="E34" s="1152"/>
      <c r="F34" s="1153"/>
      <c r="G34" s="30">
        <f>SUM(G12:G33)</f>
        <v>0</v>
      </c>
      <c r="H34" s="30">
        <f>SUM(H12:H33)</f>
        <v>0</v>
      </c>
      <c r="I34" s="30">
        <f>SUM(I12:I33)</f>
        <v>0</v>
      </c>
      <c r="J34" s="31" t="str">
        <f>IF(ReviewLevel="FULL",IF(I34 &lt;&gt; 0, G34/I34, ""),"")</f>
        <v/>
      </c>
    </row>
    <row r="35" spans="1:10" s="1" customFormat="1" ht="16.5" thickTop="1" thickBot="1">
      <c r="A35" s="1167" t="s">
        <v>1019</v>
      </c>
      <c r="B35" s="1168"/>
      <c r="C35" s="1168"/>
      <c r="D35" s="1168"/>
      <c r="E35" s="1168"/>
      <c r="F35" s="1169"/>
      <c r="G35" s="1218" t="s">
        <v>69</v>
      </c>
      <c r="H35" s="1219"/>
      <c r="I35" s="1219"/>
      <c r="J35" s="1220"/>
    </row>
    <row r="36" spans="1:10" s="1" customFormat="1" ht="16" thickTop="1">
      <c r="A36" s="1167"/>
      <c r="B36" s="1168"/>
      <c r="C36" s="1168"/>
      <c r="D36" s="1168"/>
      <c r="E36" s="1168"/>
      <c r="F36" s="1169"/>
      <c r="G36" s="1139" t="s">
        <v>178</v>
      </c>
      <c r="H36" s="1139"/>
      <c r="I36" s="1141">
        <f>IF(CBAOHRcontractNumber="",0,'Demand for Pmt. Notice (Print)'!#REF!)</f>
        <v>0</v>
      </c>
      <c r="J36" s="1142"/>
    </row>
    <row r="37" spans="1:10" s="1" customFormat="1" ht="16" thickBot="1">
      <c r="A37" s="1170"/>
      <c r="B37" s="1171"/>
      <c r="C37" s="1171"/>
      <c r="D37" s="1171"/>
      <c r="E37" s="1171"/>
      <c r="F37" s="1172"/>
      <c r="G37" s="1140"/>
      <c r="H37" s="1140"/>
      <c r="I37" s="1143"/>
      <c r="J37" s="1144"/>
    </row>
    <row r="38" spans="1:10" ht="15" thickTop="1"/>
  </sheetData>
  <sheetProtection password="A541" sheet="1" objects="1" scenarios="1" selectLockedCells="1"/>
  <customSheetViews>
    <customSheetView guid="{E1D23BD2-FE11-448B-A102-D2461140BE5A}" fitToPage="1" state="hidden">
      <selection sqref="A1:F1"/>
      <pageMargins left="0.5" right="0.5" top="1" bottom="0.75" header="0.25" footer="0.25"/>
      <printOptions horizontalCentered="1"/>
      <pageSetup scale="94" orientation="portrait" r:id="rId1"/>
      <headerFooter>
        <oddHeader>&amp;L&amp;"Arial,Regular"&amp;8Texas Department of Aging
and Disability Services&amp;C&amp;"Arial,Bold"&amp;12ADULT FOSTER CARE /
OUT OF HOME RESPITE (AFC/OHR)
OHR COMPLIANCE SUMMARY&amp;R&amp;"Arial,Regular"&amp;8Form TBD
Page &amp;P</oddHeader>
      </headerFooter>
    </customSheetView>
    <customSheetView guid="{B71FF06E-B5A8-4FBF-B20E-2B604DE9BFBD}" fitToPage="1" state="hidden">
      <selection sqref="A1:F1"/>
      <pageMargins left="0.5" right="0.5" top="1" bottom="0.75" header="0.25" footer="0.25"/>
      <printOptions horizontalCentered="1"/>
      <pageSetup scale="94" orientation="portrait" r:id="rId2"/>
      <headerFooter>
        <oddHeader>&amp;L&amp;"Arial,Regular"&amp;8Texas Department of Aging
and Disability Services&amp;C&amp;"Arial,Bold"&amp;12ADULT FOSTER CARE /
OUT OF HOME RESPITE (AFC/OHR)
OHR COMPLIANCE SUMMARY&amp;R&amp;"Arial,Regular"&amp;8Form TBD
Page &amp;P</oddHeader>
      </headerFooter>
    </customSheetView>
  </customSheetViews>
  <mergeCells count="73">
    <mergeCell ref="G36:H37"/>
    <mergeCell ref="I36:J37"/>
    <mergeCell ref="G35:J35"/>
    <mergeCell ref="A35:F37"/>
    <mergeCell ref="A34:F34"/>
    <mergeCell ref="A32:F32"/>
    <mergeCell ref="G32:G33"/>
    <mergeCell ref="H32:H33"/>
    <mergeCell ref="I32:I33"/>
    <mergeCell ref="J32:J33"/>
    <mergeCell ref="A33:F33"/>
    <mergeCell ref="A30:F30"/>
    <mergeCell ref="A31:F31"/>
    <mergeCell ref="A28:F28"/>
    <mergeCell ref="A29:F29"/>
    <mergeCell ref="A26:F26"/>
    <mergeCell ref="A27:F27"/>
    <mergeCell ref="A24:F24"/>
    <mergeCell ref="A25:F25"/>
    <mergeCell ref="A22:F22"/>
    <mergeCell ref="A23:F23"/>
    <mergeCell ref="A20:F20"/>
    <mergeCell ref="A21:F21"/>
    <mergeCell ref="A18:F18"/>
    <mergeCell ref="G18:G19"/>
    <mergeCell ref="H18:H19"/>
    <mergeCell ref="I18:I19"/>
    <mergeCell ref="J18:J19"/>
    <mergeCell ref="A19:F19"/>
    <mergeCell ref="A16:F16"/>
    <mergeCell ref="G16:G17"/>
    <mergeCell ref="H16:H17"/>
    <mergeCell ref="I16:I17"/>
    <mergeCell ref="J16:J17"/>
    <mergeCell ref="A17:F17"/>
    <mergeCell ref="A14:F14"/>
    <mergeCell ref="G14:G15"/>
    <mergeCell ref="H14:H15"/>
    <mergeCell ref="I14:I15"/>
    <mergeCell ref="J14:J15"/>
    <mergeCell ref="A15:F15"/>
    <mergeCell ref="A8:J8"/>
    <mergeCell ref="A9:F11"/>
    <mergeCell ref="G10:G11"/>
    <mergeCell ref="H10:H11"/>
    <mergeCell ref="A12:F12"/>
    <mergeCell ref="G12:G13"/>
    <mergeCell ref="H12:H13"/>
    <mergeCell ref="I12:I13"/>
    <mergeCell ref="J12:J13"/>
    <mergeCell ref="A13:F13"/>
    <mergeCell ref="G4:H4"/>
    <mergeCell ref="E4:F4"/>
    <mergeCell ref="C4:D4"/>
    <mergeCell ref="A6:E7"/>
    <mergeCell ref="F7:G7"/>
    <mergeCell ref="H7:J7"/>
    <mergeCell ref="F6:G6"/>
    <mergeCell ref="H6:J6"/>
    <mergeCell ref="G5:H5"/>
    <mergeCell ref="C5:D5"/>
    <mergeCell ref="E5:F5"/>
    <mergeCell ref="A3:B3"/>
    <mergeCell ref="C3:D3"/>
    <mergeCell ref="E3:F3"/>
    <mergeCell ref="G3:H3"/>
    <mergeCell ref="I3:J3"/>
    <mergeCell ref="A1:F1"/>
    <mergeCell ref="G1:H1"/>
    <mergeCell ref="I1:J1"/>
    <mergeCell ref="A2:F2"/>
    <mergeCell ref="G2:H2"/>
    <mergeCell ref="I2:J2"/>
  </mergeCells>
  <conditionalFormatting sqref="J12:J19">
    <cfRule type="cellIs" dxfId="1" priority="2" operator="lessThan">
      <formula>0.9</formula>
    </cfRule>
  </conditionalFormatting>
  <conditionalFormatting sqref="J32:J34">
    <cfRule type="cellIs" dxfId="0" priority="1" operator="lessThan">
      <formula>0.9</formula>
    </cfRule>
  </conditionalFormatting>
  <dataValidations disablePrompts="1" count="1">
    <dataValidation type="whole" showInputMessage="1" showErrorMessage="1" sqref="I6:J6" xr:uid="{00000000-0002-0000-0B00-000000000000}">
      <formula1>1</formula1>
      <formula2>999999999999</formula2>
    </dataValidation>
  </dataValidations>
  <printOptions horizontalCentered="1"/>
  <pageMargins left="0.5" right="0.5" top="1" bottom="0.75" header="0.25" footer="0.25"/>
  <pageSetup scale="94" orientation="portrait" r:id="rId3"/>
  <headerFooter>
    <oddHeader>&amp;L&amp;"Arial,Regular"&amp;8Texas Department of Aging
and Disability Services&amp;C&amp;"Arial,Bold"&amp;12ADULT FOSTER CARE /
OUT OF HOME RESPITE (AFC/OHR)
OHR COMPLIANCE SUMMARY&amp;R&amp;"Arial,Regular"&amp;8Form TBD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X177"/>
  <sheetViews>
    <sheetView zoomScaleNormal="100" workbookViewId="0">
      <selection activeCell="I2" sqref="I2:J2"/>
    </sheetView>
  </sheetViews>
  <sheetFormatPr defaultColWidth="9.1796875" defaultRowHeight="14.5"/>
  <cols>
    <col min="1" max="10" width="10.81640625" customWidth="1"/>
    <col min="11" max="24" width="9.1796875" style="140"/>
  </cols>
  <sheetData>
    <row r="1" spans="1:24" s="1" customFormat="1" ht="15.75" customHeight="1" thickTop="1">
      <c r="A1" s="592" t="s">
        <v>0</v>
      </c>
      <c r="B1" s="593"/>
      <c r="C1" s="593"/>
      <c r="D1" s="593"/>
      <c r="E1" s="593"/>
      <c r="F1" s="594"/>
      <c r="G1" s="1176" t="s">
        <v>1</v>
      </c>
      <c r="H1" s="596"/>
      <c r="I1" s="1176" t="s">
        <v>2</v>
      </c>
      <c r="J1" s="596"/>
      <c r="K1" s="139"/>
      <c r="L1" s="139"/>
      <c r="M1" s="139"/>
      <c r="N1" s="139"/>
      <c r="O1" s="139"/>
      <c r="P1" s="139"/>
      <c r="Q1" s="139"/>
      <c r="R1" s="139"/>
      <c r="S1" s="139"/>
      <c r="T1" s="139"/>
      <c r="U1" s="139"/>
      <c r="V1" s="139"/>
      <c r="W1" s="139"/>
      <c r="X1" s="139"/>
    </row>
    <row r="2" spans="1:24" s="1" customFormat="1" ht="31.5" customHeight="1" thickBot="1">
      <c r="A2" s="1177">
        <f>NameOfLegalEntity</f>
        <v>0</v>
      </c>
      <c r="B2" s="1178"/>
      <c r="C2" s="1178"/>
      <c r="D2" s="1178"/>
      <c r="E2" s="1178"/>
      <c r="F2" s="1179"/>
      <c r="G2" s="1180">
        <f>ReviewLevel</f>
        <v>0</v>
      </c>
      <c r="H2" s="1181"/>
      <c r="I2" s="1180">
        <f>ReviewType</f>
        <v>0</v>
      </c>
      <c r="J2" s="1181"/>
      <c r="K2" s="139"/>
      <c r="L2" s="139"/>
      <c r="M2" s="139"/>
      <c r="N2" s="139"/>
      <c r="O2" s="139"/>
      <c r="P2" s="139"/>
      <c r="Q2" s="139"/>
      <c r="R2" s="139"/>
      <c r="S2" s="139"/>
      <c r="T2" s="139"/>
      <c r="U2" s="139"/>
      <c r="V2" s="139"/>
      <c r="W2" s="139"/>
      <c r="X2" s="139"/>
    </row>
    <row r="3" spans="1:24" s="1" customFormat="1" ht="15.75" customHeight="1">
      <c r="A3" s="609" t="s">
        <v>3</v>
      </c>
      <c r="B3" s="610"/>
      <c r="C3" s="609" t="s">
        <v>4</v>
      </c>
      <c r="D3" s="610"/>
      <c r="E3" s="609" t="s">
        <v>894</v>
      </c>
      <c r="F3" s="610"/>
      <c r="G3" s="609" t="s">
        <v>894</v>
      </c>
      <c r="H3" s="610"/>
      <c r="I3" s="609" t="s">
        <v>939</v>
      </c>
      <c r="J3" s="610"/>
      <c r="K3" s="139"/>
      <c r="L3" s="139"/>
      <c r="M3" s="139"/>
      <c r="N3" s="139"/>
      <c r="O3" s="139"/>
      <c r="P3" s="139"/>
      <c r="Q3" s="139"/>
      <c r="R3" s="139"/>
      <c r="S3" s="139"/>
      <c r="T3" s="139"/>
      <c r="U3" s="139"/>
      <c r="V3" s="139"/>
      <c r="W3" s="139"/>
      <c r="X3" s="139"/>
    </row>
    <row r="4" spans="1:24" s="1" customFormat="1" ht="15" customHeight="1">
      <c r="A4" s="224" t="s">
        <v>6</v>
      </c>
      <c r="B4" s="227">
        <f>CompletedByLastName</f>
        <v>0</v>
      </c>
      <c r="C4" s="615" t="s">
        <v>7</v>
      </c>
      <c r="D4" s="616"/>
      <c r="E4" s="615" t="s">
        <v>895</v>
      </c>
      <c r="F4" s="616"/>
      <c r="G4" s="615" t="s">
        <v>991</v>
      </c>
      <c r="H4" s="616"/>
      <c r="I4" s="226" t="s">
        <v>8</v>
      </c>
      <c r="J4" s="228" t="str">
        <f>IF(DateOfMonitoringPeriodBegin="","",DateOfMonitoringPeriodBegin)</f>
        <v/>
      </c>
      <c r="K4" s="139"/>
      <c r="L4" s="139"/>
      <c r="M4" s="139"/>
      <c r="N4" s="139"/>
      <c r="O4" s="139"/>
      <c r="P4" s="139"/>
      <c r="Q4" s="139"/>
      <c r="R4" s="139"/>
      <c r="S4" s="139"/>
      <c r="T4" s="139"/>
      <c r="U4" s="139"/>
      <c r="V4" s="139"/>
      <c r="W4" s="139"/>
      <c r="X4" s="139"/>
    </row>
    <row r="5" spans="1:24" s="1" customFormat="1" ht="16.5" customHeight="1" thickBot="1">
      <c r="A5" s="225" t="s">
        <v>9</v>
      </c>
      <c r="B5" s="229">
        <f>CompletedByFirstName</f>
        <v>0</v>
      </c>
      <c r="C5" s="1187" t="str">
        <f>IF(DateOfEntrance="","",DateOfEntrance)</f>
        <v/>
      </c>
      <c r="D5" s="1188"/>
      <c r="E5" s="1189" t="str">
        <f>IF(DateOfExit="","",DateOfExit)</f>
        <v/>
      </c>
      <c r="F5" s="1190"/>
      <c r="G5" s="1187" t="str">
        <f>IF(DateOfRevisedExit="", "",DateOfRevisedExit)</f>
        <v/>
      </c>
      <c r="H5" s="1188"/>
      <c r="I5" s="213" t="s">
        <v>10</v>
      </c>
      <c r="J5" s="230" t="str">
        <f>IF(DateOfMonitoringPeriodEnd="","",DateOfMonitoringPeriodEnd)</f>
        <v/>
      </c>
      <c r="K5" s="139"/>
      <c r="L5" s="139"/>
      <c r="M5" s="139"/>
      <c r="N5" s="139"/>
      <c r="O5" s="139"/>
      <c r="P5" s="139"/>
      <c r="Q5" s="139"/>
      <c r="R5" s="139"/>
      <c r="S5" s="139"/>
      <c r="T5" s="139"/>
      <c r="U5" s="139"/>
      <c r="V5" s="139"/>
      <c r="W5" s="139"/>
      <c r="X5" s="139"/>
    </row>
    <row r="6" spans="1:24" s="1" customFormat="1" ht="15.75" customHeight="1" thickBot="1">
      <c r="A6" s="1194" t="s">
        <v>11</v>
      </c>
      <c r="B6" s="1195"/>
      <c r="C6" s="1195" t="s">
        <v>49</v>
      </c>
      <c r="D6" s="1195"/>
      <c r="E6" s="1196"/>
      <c r="F6" s="1280">
        <f>CBAOHRcontractNumber</f>
        <v>0</v>
      </c>
      <c r="G6" s="1281"/>
      <c r="H6" s="1281"/>
      <c r="I6" s="1281"/>
      <c r="J6" s="1282"/>
      <c r="K6" s="139"/>
      <c r="L6" s="139"/>
      <c r="M6" s="139"/>
      <c r="N6" s="139"/>
      <c r="O6" s="139"/>
      <c r="P6" s="139"/>
      <c r="Q6" s="139"/>
      <c r="R6" s="139"/>
      <c r="S6" s="139"/>
      <c r="T6" s="139"/>
      <c r="U6" s="139"/>
      <c r="V6" s="139"/>
      <c r="W6" s="139"/>
      <c r="X6" s="139"/>
    </row>
    <row r="7" spans="1:24" s="1" customFormat="1" ht="15" customHeight="1" thickBot="1">
      <c r="A7" s="1182" t="s">
        <v>402</v>
      </c>
      <c r="B7" s="1183"/>
      <c r="C7" s="1184">
        <f>CCADAFCcontractNumber</f>
        <v>0</v>
      </c>
      <c r="D7" s="1185"/>
      <c r="E7" s="1186"/>
      <c r="F7" s="1283"/>
      <c r="G7" s="1284"/>
      <c r="H7" s="1284"/>
      <c r="I7" s="1284"/>
      <c r="J7" s="1285"/>
      <c r="K7" s="139"/>
      <c r="L7" s="139"/>
      <c r="M7" s="139"/>
      <c r="N7" s="139"/>
      <c r="O7" s="139"/>
      <c r="P7" s="139"/>
      <c r="Q7" s="139"/>
      <c r="R7" s="139"/>
      <c r="S7" s="139"/>
      <c r="T7" s="139"/>
      <c r="U7" s="139"/>
      <c r="V7" s="139"/>
      <c r="W7" s="139"/>
      <c r="X7" s="139"/>
    </row>
    <row r="8" spans="1:24" s="1" customFormat="1" ht="15" hidden="1" customHeight="1" thickBot="1">
      <c r="A8" s="1182"/>
      <c r="B8" s="1183"/>
      <c r="C8" s="1184"/>
      <c r="D8" s="1185"/>
      <c r="E8" s="1186"/>
      <c r="F8" s="1182"/>
      <c r="G8" s="1183"/>
      <c r="H8" s="1184"/>
      <c r="I8" s="1185"/>
      <c r="J8" s="1186"/>
      <c r="K8" s="139"/>
      <c r="L8" s="139"/>
      <c r="M8" s="139"/>
      <c r="N8" s="139"/>
      <c r="O8" s="139"/>
      <c r="P8" s="139"/>
      <c r="Q8" s="139"/>
      <c r="R8" s="139"/>
      <c r="S8" s="139"/>
      <c r="T8" s="139"/>
      <c r="U8" s="139"/>
      <c r="V8" s="139"/>
      <c r="W8" s="139"/>
      <c r="X8" s="139"/>
    </row>
    <row r="9" spans="1:24" s="139" customFormat="1" ht="30" customHeight="1" thickBot="1">
      <c r="A9" s="1277" t="s">
        <v>187</v>
      </c>
      <c r="B9" s="1278"/>
      <c r="C9" s="1278"/>
      <c r="D9" s="1278"/>
      <c r="E9" s="1278"/>
      <c r="F9" s="1278"/>
      <c r="G9" s="1278"/>
      <c r="H9" s="1278"/>
      <c r="I9" s="1278"/>
      <c r="J9" s="1279"/>
      <c r="L9" s="310"/>
    </row>
    <row r="10" spans="1:24" ht="17.25" customHeight="1" thickTop="1" thickBot="1">
      <c r="A10" s="513" t="s">
        <v>501</v>
      </c>
      <c r="B10" s="514"/>
      <c r="C10" s="514"/>
      <c r="D10" s="514"/>
      <c r="E10" s="632"/>
      <c r="F10" s="632"/>
      <c r="G10" s="632"/>
      <c r="H10" s="632"/>
      <c r="I10" s="632"/>
      <c r="J10" s="633"/>
    </row>
    <row r="11" spans="1:24" s="297" customFormat="1" ht="40" customHeight="1" thickTop="1" thickBot="1">
      <c r="A11" s="1224" t="s">
        <v>1039</v>
      </c>
      <c r="B11" s="311" t="s">
        <v>180</v>
      </c>
      <c r="C11" s="311" t="s">
        <v>38</v>
      </c>
      <c r="D11" s="296" t="s">
        <v>38</v>
      </c>
      <c r="E11" s="1266"/>
      <c r="F11" s="1267"/>
      <c r="G11" s="1267"/>
      <c r="H11" s="1267"/>
      <c r="I11" s="1267"/>
      <c r="J11" s="1268"/>
      <c r="K11" s="68"/>
      <c r="L11" s="68"/>
      <c r="M11" s="68"/>
      <c r="N11" s="68"/>
      <c r="O11" s="68"/>
      <c r="P11" s="68"/>
      <c r="Q11" s="68"/>
      <c r="R11" s="68"/>
      <c r="S11" s="68"/>
      <c r="T11" s="68"/>
      <c r="U11" s="68"/>
      <c r="V11" s="68"/>
      <c r="W11" s="68"/>
      <c r="X11" s="68"/>
    </row>
    <row r="12" spans="1:24" s="297" customFormat="1" ht="20.149999999999999" customHeight="1" thickTop="1" thickBot="1">
      <c r="A12" s="1225"/>
      <c r="B12" s="1239">
        <v>1</v>
      </c>
      <c r="C12" s="293"/>
      <c r="D12" s="294"/>
      <c r="E12" s="1269"/>
      <c r="F12" s="1270"/>
      <c r="G12" s="1270"/>
      <c r="H12" s="1270"/>
      <c r="I12" s="1270"/>
      <c r="J12" s="1271"/>
      <c r="K12" s="68"/>
      <c r="L12" s="68"/>
      <c r="M12" s="68"/>
      <c r="N12" s="68"/>
      <c r="O12" s="68"/>
      <c r="P12" s="68"/>
      <c r="Q12" s="68"/>
      <c r="R12" s="68"/>
      <c r="S12" s="68"/>
      <c r="T12" s="68"/>
      <c r="U12" s="68"/>
      <c r="V12" s="68"/>
      <c r="W12" s="68"/>
      <c r="X12" s="68"/>
    </row>
    <row r="13" spans="1:24" s="297" customFormat="1" ht="20.149999999999999" customHeight="1" thickTop="1" thickBot="1">
      <c r="A13" s="1225"/>
      <c r="B13" s="1240"/>
      <c r="C13" s="288"/>
      <c r="D13" s="181"/>
      <c r="E13" s="1269"/>
      <c r="F13" s="1270"/>
      <c r="G13" s="1270"/>
      <c r="H13" s="1270"/>
      <c r="I13" s="1270"/>
      <c r="J13" s="1271"/>
      <c r="K13" s="68"/>
      <c r="L13" s="68"/>
      <c r="M13" s="68"/>
      <c r="N13" s="68"/>
      <c r="O13" s="68"/>
      <c r="P13" s="68"/>
      <c r="Q13" s="68"/>
      <c r="R13" s="68"/>
      <c r="S13" s="68"/>
      <c r="T13" s="68"/>
      <c r="U13" s="68"/>
      <c r="V13" s="68"/>
      <c r="W13" s="68"/>
      <c r="X13" s="68"/>
    </row>
    <row r="14" spans="1:24" s="297" customFormat="1" ht="20.149999999999999" customHeight="1" thickTop="1" thickBot="1">
      <c r="A14" s="1225"/>
      <c r="B14" s="1240"/>
      <c r="C14" s="288"/>
      <c r="D14" s="181"/>
      <c r="E14" s="1269"/>
      <c r="F14" s="1270"/>
      <c r="G14" s="1270"/>
      <c r="H14" s="1270"/>
      <c r="I14" s="1270"/>
      <c r="J14" s="1271"/>
      <c r="K14" s="68"/>
      <c r="L14" s="68"/>
      <c r="M14" s="68"/>
      <c r="N14" s="68"/>
      <c r="O14" s="68"/>
      <c r="P14" s="68"/>
      <c r="Q14" s="68"/>
      <c r="R14" s="68"/>
      <c r="S14" s="68"/>
      <c r="T14" s="68"/>
      <c r="U14" s="68"/>
      <c r="V14" s="68"/>
      <c r="W14" s="68"/>
      <c r="X14" s="68"/>
    </row>
    <row r="15" spans="1:24" s="297" customFormat="1" ht="20.149999999999999" customHeight="1" thickTop="1" thickBot="1">
      <c r="A15" s="1226"/>
      <c r="B15" s="1241"/>
      <c r="C15" s="288"/>
      <c r="D15" s="181"/>
      <c r="E15" s="1272"/>
      <c r="F15" s="1273"/>
      <c r="G15" s="1273"/>
      <c r="H15" s="1273"/>
      <c r="I15" s="1273"/>
      <c r="J15" s="1274"/>
      <c r="K15" s="68"/>
      <c r="L15" s="68"/>
      <c r="M15" s="68"/>
      <c r="N15" s="68"/>
      <c r="O15" s="68"/>
      <c r="P15" s="68"/>
      <c r="Q15" s="68"/>
      <c r="R15" s="68"/>
      <c r="S15" s="68"/>
      <c r="T15" s="68"/>
      <c r="U15" s="68"/>
      <c r="V15" s="68"/>
      <c r="W15" s="68"/>
      <c r="X15" s="68"/>
    </row>
    <row r="16" spans="1:24" s="297" customFormat="1" ht="40" customHeight="1" thickTop="1" thickBot="1">
      <c r="A16" s="1224" t="s">
        <v>1040</v>
      </c>
      <c r="B16" s="296" t="s">
        <v>180</v>
      </c>
      <c r="C16" s="346" t="s">
        <v>182</v>
      </c>
      <c r="D16" s="347" t="s">
        <v>181</v>
      </c>
      <c r="E16" s="1251"/>
      <c r="F16" s="1252"/>
      <c r="G16" s="1252"/>
      <c r="H16" s="1252"/>
      <c r="I16" s="1252"/>
      <c r="J16" s="1253"/>
      <c r="K16" s="68"/>
      <c r="L16" s="68"/>
      <c r="M16" s="68"/>
      <c r="N16" s="68"/>
      <c r="O16" s="68"/>
      <c r="P16" s="68"/>
      <c r="Q16" s="68"/>
      <c r="R16" s="68"/>
      <c r="S16" s="68"/>
      <c r="T16" s="68"/>
      <c r="U16" s="68"/>
      <c r="V16" s="68"/>
      <c r="W16" s="68"/>
      <c r="X16" s="68"/>
    </row>
    <row r="17" spans="1:24" s="297" customFormat="1" ht="20.149999999999999" customHeight="1" thickTop="1" thickBot="1">
      <c r="A17" s="1225"/>
      <c r="B17" s="298">
        <v>2</v>
      </c>
      <c r="C17" s="303"/>
      <c r="D17" s="299"/>
      <c r="E17" s="1254"/>
      <c r="F17" s="1255"/>
      <c r="G17" s="1255"/>
      <c r="H17" s="1255"/>
      <c r="I17" s="1255"/>
      <c r="J17" s="1256"/>
      <c r="K17" s="68"/>
      <c r="L17" s="68"/>
      <c r="M17" s="68"/>
      <c r="N17" s="68"/>
      <c r="O17" s="68"/>
      <c r="P17" s="68"/>
      <c r="Q17" s="68"/>
      <c r="R17" s="68"/>
      <c r="S17" s="68"/>
      <c r="T17" s="68"/>
      <c r="U17" s="68"/>
      <c r="V17" s="68"/>
      <c r="W17" s="68"/>
      <c r="X17" s="68"/>
    </row>
    <row r="18" spans="1:24" s="297" customFormat="1" ht="20.149999999999999" customHeight="1" thickTop="1" thickBot="1">
      <c r="A18" s="1226"/>
      <c r="B18" s="290">
        <v>3</v>
      </c>
      <c r="C18" s="300"/>
      <c r="D18" s="291"/>
      <c r="E18" s="1257"/>
      <c r="F18" s="1258"/>
      <c r="G18" s="1258"/>
      <c r="H18" s="1258"/>
      <c r="I18" s="1258"/>
      <c r="J18" s="1259"/>
      <c r="K18" s="68"/>
      <c r="L18" s="68"/>
      <c r="M18" s="68"/>
      <c r="N18" s="68"/>
      <c r="O18" s="68"/>
      <c r="P18" s="68"/>
      <c r="Q18" s="68"/>
      <c r="R18" s="68"/>
      <c r="S18" s="68"/>
      <c r="T18" s="68"/>
      <c r="U18" s="68"/>
      <c r="V18" s="68"/>
      <c r="W18" s="68"/>
      <c r="X18" s="68"/>
    </row>
    <row r="19" spans="1:24" s="297" customFormat="1" ht="40" customHeight="1" thickTop="1">
      <c r="A19" s="1224" t="s">
        <v>1041</v>
      </c>
      <c r="B19" s="296" t="s">
        <v>1050</v>
      </c>
      <c r="C19" s="311"/>
      <c r="D19" s="301"/>
      <c r="E19" s="301"/>
      <c r="F19" s="337"/>
      <c r="G19" s="296" t="s">
        <v>1050</v>
      </c>
      <c r="H19" s="311"/>
      <c r="I19" s="301"/>
      <c r="J19" s="301"/>
      <c r="K19" s="68"/>
      <c r="L19" s="68"/>
      <c r="M19" s="68"/>
      <c r="N19" s="68"/>
      <c r="O19" s="68"/>
      <c r="P19" s="68"/>
      <c r="Q19" s="68"/>
      <c r="R19" s="68"/>
      <c r="S19" s="68"/>
      <c r="T19" s="68"/>
      <c r="U19" s="68"/>
      <c r="V19" s="68"/>
      <c r="W19" s="68"/>
      <c r="X19" s="68"/>
    </row>
    <row r="20" spans="1:24" s="297" customFormat="1" ht="20.149999999999999" customHeight="1" thickBot="1">
      <c r="A20" s="1225"/>
      <c r="B20" s="314" t="s">
        <v>326</v>
      </c>
      <c r="C20" s="312" t="s">
        <v>38</v>
      </c>
      <c r="D20" s="313" t="s">
        <v>182</v>
      </c>
      <c r="E20" s="313" t="s">
        <v>181</v>
      </c>
      <c r="F20" s="338"/>
      <c r="G20" s="314" t="s">
        <v>326</v>
      </c>
      <c r="H20" s="312" t="s">
        <v>38</v>
      </c>
      <c r="I20" s="313" t="s">
        <v>182</v>
      </c>
      <c r="J20" s="313" t="s">
        <v>181</v>
      </c>
      <c r="K20" s="68"/>
      <c r="L20" s="68"/>
      <c r="M20" s="68"/>
      <c r="N20" s="68"/>
      <c r="O20" s="68"/>
      <c r="P20" s="68"/>
      <c r="Q20" s="68"/>
      <c r="R20" s="68"/>
      <c r="S20" s="68"/>
      <c r="T20" s="68"/>
      <c r="U20" s="68"/>
      <c r="V20" s="68"/>
      <c r="W20" s="68"/>
      <c r="X20" s="68"/>
    </row>
    <row r="21" spans="1:24" s="297" customFormat="1" ht="20.149999999999999" customHeight="1" thickTop="1" thickBot="1">
      <c r="A21" s="1225"/>
      <c r="B21" s="293"/>
      <c r="C21" s="288"/>
      <c r="D21" s="295"/>
      <c r="E21" s="295"/>
      <c r="F21" s="338"/>
      <c r="G21" s="304"/>
      <c r="H21" s="304"/>
      <c r="I21" s="305"/>
      <c r="J21" s="305"/>
      <c r="K21" s="68"/>
      <c r="L21" s="68"/>
      <c r="M21" s="68"/>
      <c r="N21" s="68"/>
      <c r="O21" s="68"/>
      <c r="P21" s="68"/>
      <c r="Q21" s="68"/>
      <c r="R21" s="68"/>
      <c r="S21" s="68"/>
      <c r="T21" s="68"/>
      <c r="U21" s="68"/>
      <c r="V21" s="68"/>
      <c r="W21" s="68"/>
      <c r="X21" s="68"/>
    </row>
    <row r="22" spans="1:24" s="297" customFormat="1" ht="20.149999999999999" customHeight="1" thickTop="1" thickBot="1">
      <c r="A22" s="1225"/>
      <c r="B22" s="288"/>
      <c r="C22" s="288"/>
      <c r="D22" s="295"/>
      <c r="E22" s="295"/>
      <c r="F22" s="338"/>
      <c r="G22" s="304"/>
      <c r="H22" s="304"/>
      <c r="I22" s="305"/>
      <c r="J22" s="305"/>
      <c r="K22" s="68"/>
      <c r="L22" s="68"/>
      <c r="M22" s="68"/>
      <c r="N22" s="68"/>
      <c r="O22" s="68"/>
      <c r="P22" s="68"/>
      <c r="Q22" s="68"/>
      <c r="R22" s="68"/>
      <c r="S22" s="68"/>
      <c r="T22" s="68"/>
      <c r="U22" s="68"/>
      <c r="V22" s="68"/>
      <c r="W22" s="68"/>
      <c r="X22" s="68"/>
    </row>
    <row r="23" spans="1:24" s="297" customFormat="1" ht="20.149999999999999" customHeight="1" thickTop="1" thickBot="1">
      <c r="A23" s="1225"/>
      <c r="B23" s="288"/>
      <c r="C23" s="288"/>
      <c r="D23" s="295"/>
      <c r="E23" s="295"/>
      <c r="F23" s="338"/>
      <c r="G23" s="304"/>
      <c r="H23" s="304"/>
      <c r="I23" s="305"/>
      <c r="J23" s="305"/>
      <c r="K23" s="68"/>
      <c r="L23" s="68"/>
      <c r="M23" s="68"/>
      <c r="N23" s="68"/>
      <c r="O23" s="68"/>
      <c r="P23" s="68"/>
      <c r="Q23" s="68"/>
      <c r="R23" s="68"/>
      <c r="S23" s="68"/>
      <c r="T23" s="68"/>
      <c r="U23" s="68"/>
      <c r="V23" s="68"/>
      <c r="W23" s="68"/>
      <c r="X23" s="68"/>
    </row>
    <row r="24" spans="1:24" s="297" customFormat="1" ht="20.149999999999999" customHeight="1" thickTop="1" thickBot="1">
      <c r="A24" s="1226"/>
      <c r="B24" s="288"/>
      <c r="C24" s="288"/>
      <c r="D24" s="295"/>
      <c r="E24" s="295"/>
      <c r="F24" s="339"/>
      <c r="G24" s="304"/>
      <c r="H24" s="304"/>
      <c r="I24" s="305"/>
      <c r="J24" s="305"/>
      <c r="K24" s="68"/>
      <c r="L24" s="68"/>
      <c r="M24" s="68"/>
      <c r="N24" s="68"/>
      <c r="O24" s="68"/>
      <c r="P24" s="68"/>
      <c r="Q24" s="68"/>
      <c r="R24" s="68"/>
      <c r="S24" s="68"/>
      <c r="T24" s="68"/>
      <c r="U24" s="68"/>
      <c r="V24" s="68"/>
      <c r="W24" s="68"/>
      <c r="X24" s="68"/>
    </row>
    <row r="25" spans="1:24" s="297" customFormat="1" ht="40" customHeight="1" thickTop="1" thickBot="1">
      <c r="A25" s="1224" t="s">
        <v>1042</v>
      </c>
      <c r="B25" s="296" t="s">
        <v>180</v>
      </c>
      <c r="C25" s="312" t="s">
        <v>182</v>
      </c>
      <c r="D25" s="313" t="s">
        <v>181</v>
      </c>
      <c r="E25" s="1251"/>
      <c r="F25" s="1252"/>
      <c r="G25" s="1252"/>
      <c r="H25" s="1252"/>
      <c r="I25" s="1252"/>
      <c r="J25" s="1253"/>
      <c r="K25" s="68"/>
      <c r="L25" s="68"/>
      <c r="M25" s="68"/>
      <c r="N25" s="68"/>
      <c r="O25" s="68"/>
      <c r="P25" s="68"/>
      <c r="Q25" s="68"/>
      <c r="R25" s="68"/>
      <c r="S25" s="68"/>
      <c r="T25" s="68"/>
      <c r="U25" s="68"/>
      <c r="V25" s="68"/>
      <c r="W25" s="68"/>
      <c r="X25" s="68"/>
    </row>
    <row r="26" spans="1:24" s="297" customFormat="1" ht="20.149999999999999" customHeight="1" thickTop="1" thickBot="1">
      <c r="A26" s="1225"/>
      <c r="B26" s="298">
        <v>6</v>
      </c>
      <c r="C26" s="303"/>
      <c r="D26" s="300"/>
      <c r="E26" s="1254"/>
      <c r="F26" s="1255"/>
      <c r="G26" s="1255"/>
      <c r="H26" s="1255"/>
      <c r="I26" s="1255"/>
      <c r="J26" s="1256"/>
      <c r="K26" s="68"/>
      <c r="L26" s="68"/>
      <c r="M26" s="68"/>
      <c r="N26" s="68"/>
      <c r="O26" s="68"/>
      <c r="P26" s="68"/>
      <c r="Q26" s="68"/>
      <c r="R26" s="68"/>
      <c r="S26" s="68"/>
      <c r="T26" s="68"/>
      <c r="U26" s="68"/>
      <c r="V26" s="68"/>
      <c r="W26" s="68"/>
      <c r="X26" s="68"/>
    </row>
    <row r="27" spans="1:24" s="297" customFormat="1" ht="20.149999999999999" customHeight="1" thickTop="1" thickBot="1">
      <c r="A27" s="1226"/>
      <c r="B27" s="290">
        <v>7</v>
      </c>
      <c r="C27" s="300"/>
      <c r="D27" s="305"/>
      <c r="E27" s="1254"/>
      <c r="F27" s="1255"/>
      <c r="G27" s="1255"/>
      <c r="H27" s="1255"/>
      <c r="I27" s="1255"/>
      <c r="J27" s="1256"/>
      <c r="K27" s="68"/>
      <c r="L27" s="68"/>
      <c r="M27" s="68"/>
      <c r="N27" s="68"/>
      <c r="O27" s="68"/>
      <c r="P27" s="68"/>
      <c r="Q27" s="68"/>
      <c r="R27" s="68"/>
      <c r="S27" s="68"/>
      <c r="T27" s="68"/>
      <c r="U27" s="68"/>
      <c r="V27" s="68"/>
      <c r="W27" s="68"/>
      <c r="X27" s="68"/>
    </row>
    <row r="28" spans="1:24" s="297" customFormat="1" ht="40" customHeight="1" thickTop="1">
      <c r="A28" s="1224" t="s">
        <v>1043</v>
      </c>
      <c r="B28" s="296" t="s">
        <v>1050</v>
      </c>
      <c r="C28" s="296" t="s">
        <v>180</v>
      </c>
      <c r="D28" s="302"/>
      <c r="E28" s="301"/>
      <c r="F28" s="337"/>
      <c r="G28" s="296" t="s">
        <v>1050</v>
      </c>
      <c r="H28" s="296" t="s">
        <v>180</v>
      </c>
      <c r="I28" s="302"/>
      <c r="J28" s="301"/>
      <c r="K28" s="68"/>
      <c r="L28" s="68"/>
      <c r="M28" s="68"/>
      <c r="N28" s="68"/>
      <c r="O28" s="68"/>
      <c r="P28" s="68"/>
      <c r="Q28" s="68"/>
      <c r="R28" s="68"/>
      <c r="S28" s="68"/>
      <c r="T28" s="68"/>
      <c r="U28" s="68"/>
      <c r="V28" s="68"/>
      <c r="W28" s="68"/>
      <c r="X28" s="68"/>
    </row>
    <row r="29" spans="1:24" s="297" customFormat="1" ht="20.149999999999999" customHeight="1" thickBot="1">
      <c r="A29" s="1225"/>
      <c r="B29" s="314" t="s">
        <v>327</v>
      </c>
      <c r="C29" s="312" t="s">
        <v>38</v>
      </c>
      <c r="D29" s="312" t="s">
        <v>182</v>
      </c>
      <c r="E29" s="313" t="s">
        <v>181</v>
      </c>
      <c r="F29" s="338"/>
      <c r="G29" s="314" t="s">
        <v>327</v>
      </c>
      <c r="H29" s="312" t="s">
        <v>38</v>
      </c>
      <c r="I29" s="312" t="s">
        <v>182</v>
      </c>
      <c r="J29" s="313" t="s">
        <v>181</v>
      </c>
      <c r="K29" s="68"/>
      <c r="L29" s="68"/>
      <c r="M29" s="68"/>
      <c r="N29" s="68"/>
      <c r="O29" s="68"/>
      <c r="P29" s="68"/>
      <c r="Q29" s="68"/>
      <c r="R29" s="68"/>
      <c r="S29" s="68"/>
      <c r="T29" s="68"/>
      <c r="U29" s="68"/>
      <c r="V29" s="68"/>
      <c r="W29" s="68"/>
      <c r="X29" s="68"/>
    </row>
    <row r="30" spans="1:24" s="297" customFormat="1" ht="20.149999999999999" customHeight="1" thickTop="1" thickBot="1">
      <c r="A30" s="1225"/>
      <c r="B30" s="306">
        <v>8</v>
      </c>
      <c r="C30" s="304">
        <v>1</v>
      </c>
      <c r="D30" s="305"/>
      <c r="E30" s="305"/>
      <c r="F30" s="338"/>
      <c r="G30" s="304">
        <v>9</v>
      </c>
      <c r="H30" s="304">
        <v>5</v>
      </c>
      <c r="I30" s="305"/>
      <c r="J30" s="305"/>
      <c r="K30" s="68"/>
      <c r="L30" s="68"/>
      <c r="M30" s="68"/>
      <c r="N30" s="68"/>
      <c r="O30" s="68"/>
      <c r="P30" s="68"/>
      <c r="Q30" s="68"/>
      <c r="R30" s="68"/>
      <c r="S30" s="68"/>
      <c r="T30" s="68"/>
      <c r="U30" s="68"/>
      <c r="V30" s="68"/>
      <c r="W30" s="68"/>
      <c r="X30" s="68"/>
    </row>
    <row r="31" spans="1:24" s="297" customFormat="1" ht="20.149999999999999" customHeight="1" thickTop="1" thickBot="1">
      <c r="A31" s="1225"/>
      <c r="B31" s="304">
        <v>9</v>
      </c>
      <c r="C31" s="304">
        <v>2</v>
      </c>
      <c r="D31" s="305"/>
      <c r="E31" s="305"/>
      <c r="F31" s="338"/>
      <c r="G31" s="304">
        <v>8</v>
      </c>
      <c r="H31" s="304">
        <v>6</v>
      </c>
      <c r="I31" s="305"/>
      <c r="J31" s="305"/>
      <c r="K31" s="68"/>
      <c r="L31" s="68"/>
      <c r="M31" s="68"/>
      <c r="N31" s="68"/>
      <c r="O31" s="68"/>
      <c r="P31" s="68"/>
      <c r="Q31" s="68"/>
      <c r="R31" s="68"/>
      <c r="S31" s="68"/>
      <c r="T31" s="68"/>
      <c r="U31" s="68"/>
      <c r="V31" s="68"/>
      <c r="W31" s="68"/>
      <c r="X31" s="68"/>
    </row>
    <row r="32" spans="1:24" s="297" customFormat="1" ht="20.149999999999999" customHeight="1" thickTop="1" thickBot="1">
      <c r="A32" s="1225"/>
      <c r="B32" s="304">
        <v>8</v>
      </c>
      <c r="C32" s="304">
        <v>3</v>
      </c>
      <c r="D32" s="305"/>
      <c r="E32" s="305"/>
      <c r="F32" s="338"/>
      <c r="G32" s="304">
        <v>9</v>
      </c>
      <c r="H32" s="304">
        <v>7</v>
      </c>
      <c r="I32" s="305"/>
      <c r="J32" s="305"/>
      <c r="K32" s="68"/>
      <c r="L32" s="68"/>
      <c r="M32" s="68"/>
      <c r="N32" s="68"/>
      <c r="O32" s="68"/>
      <c r="P32" s="68"/>
      <c r="Q32" s="68"/>
      <c r="R32" s="68"/>
      <c r="S32" s="68"/>
      <c r="T32" s="68"/>
      <c r="U32" s="68"/>
      <c r="V32" s="68"/>
      <c r="W32" s="68"/>
      <c r="X32" s="68"/>
    </row>
    <row r="33" spans="1:24" s="297" customFormat="1" ht="20.149999999999999" customHeight="1" thickTop="1" thickBot="1">
      <c r="A33" s="1226"/>
      <c r="B33" s="304">
        <v>9</v>
      </c>
      <c r="C33" s="304">
        <v>4</v>
      </c>
      <c r="D33" s="305"/>
      <c r="E33" s="305"/>
      <c r="F33" s="339"/>
      <c r="G33" s="304">
        <v>8</v>
      </c>
      <c r="H33" s="304">
        <v>8</v>
      </c>
      <c r="I33" s="305"/>
      <c r="J33" s="305"/>
      <c r="K33" s="68"/>
      <c r="L33" s="68"/>
      <c r="M33" s="68"/>
      <c r="N33" s="68"/>
      <c r="O33" s="68"/>
      <c r="P33" s="68"/>
      <c r="Q33" s="68"/>
      <c r="R33" s="68"/>
      <c r="S33" s="68"/>
      <c r="T33" s="68"/>
      <c r="U33" s="68"/>
      <c r="V33" s="68"/>
      <c r="W33" s="68"/>
      <c r="X33" s="68"/>
    </row>
    <row r="34" spans="1:24" s="297" customFormat="1" ht="40" customHeight="1" thickTop="1" thickBot="1">
      <c r="A34" s="1224" t="s">
        <v>1044</v>
      </c>
      <c r="B34" s="319" t="s">
        <v>180</v>
      </c>
      <c r="C34" s="308" t="s">
        <v>38</v>
      </c>
      <c r="D34" s="319" t="s">
        <v>1051</v>
      </c>
      <c r="E34" s="319" t="s">
        <v>1052</v>
      </c>
      <c r="F34" s="319" t="s">
        <v>1053</v>
      </c>
      <c r="G34" s="319" t="s">
        <v>1054</v>
      </c>
      <c r="H34" s="1251"/>
      <c r="I34" s="1252"/>
      <c r="J34" s="1253"/>
      <c r="K34" s="68"/>
      <c r="L34" s="68"/>
      <c r="M34" s="68"/>
      <c r="N34" s="68"/>
      <c r="O34" s="68"/>
      <c r="P34" s="68"/>
      <c r="Q34" s="68"/>
      <c r="R34" s="68"/>
      <c r="S34" s="68"/>
      <c r="T34" s="68"/>
      <c r="U34" s="68"/>
      <c r="V34" s="68"/>
      <c r="W34" s="68"/>
      <c r="X34" s="68"/>
    </row>
    <row r="35" spans="1:24" s="297" customFormat="1" ht="20.149999999999999" customHeight="1" thickTop="1" thickBot="1">
      <c r="A35" s="1225"/>
      <c r="B35" s="1240">
        <v>10</v>
      </c>
      <c r="C35" s="322"/>
      <c r="D35" s="323"/>
      <c r="E35" s="324"/>
      <c r="F35" s="323"/>
      <c r="G35" s="324"/>
      <c r="H35" s="1254"/>
      <c r="I35" s="1255"/>
      <c r="J35" s="1256"/>
      <c r="K35" s="68"/>
      <c r="L35" s="68"/>
      <c r="M35" s="68"/>
      <c r="N35" s="68"/>
      <c r="O35" s="68"/>
      <c r="P35" s="68"/>
      <c r="Q35" s="68"/>
      <c r="R35" s="68"/>
      <c r="S35" s="68"/>
      <c r="T35" s="68"/>
      <c r="U35" s="68"/>
      <c r="V35" s="68"/>
      <c r="W35" s="68"/>
      <c r="X35" s="68"/>
    </row>
    <row r="36" spans="1:24" s="297" customFormat="1" ht="20.149999999999999" customHeight="1" thickTop="1" thickBot="1">
      <c r="A36" s="1225"/>
      <c r="B36" s="1240"/>
      <c r="C36" s="322"/>
      <c r="D36" s="323"/>
      <c r="E36" s="324"/>
      <c r="F36" s="323"/>
      <c r="G36" s="324"/>
      <c r="H36" s="1254"/>
      <c r="I36" s="1255"/>
      <c r="J36" s="1256"/>
      <c r="K36" s="68"/>
      <c r="L36" s="68"/>
      <c r="M36" s="68"/>
      <c r="N36" s="68"/>
      <c r="O36" s="68"/>
      <c r="P36" s="68"/>
      <c r="Q36" s="68"/>
      <c r="R36" s="68"/>
      <c r="S36" s="68"/>
      <c r="T36" s="68"/>
      <c r="U36" s="68"/>
      <c r="V36" s="68"/>
      <c r="W36" s="68"/>
      <c r="X36" s="68"/>
    </row>
    <row r="37" spans="1:24" s="297" customFormat="1" ht="20.149999999999999" customHeight="1" thickTop="1" thickBot="1">
      <c r="A37" s="1225"/>
      <c r="B37" s="1240"/>
      <c r="C37" s="322"/>
      <c r="D37" s="323"/>
      <c r="E37" s="324"/>
      <c r="F37" s="323"/>
      <c r="G37" s="324"/>
      <c r="H37" s="1254"/>
      <c r="I37" s="1255"/>
      <c r="J37" s="1256"/>
      <c r="K37" s="68"/>
      <c r="L37" s="68"/>
      <c r="M37" s="68"/>
      <c r="N37" s="68"/>
      <c r="O37" s="68"/>
      <c r="P37" s="68"/>
      <c r="Q37" s="68"/>
      <c r="R37" s="68"/>
      <c r="S37" s="68"/>
      <c r="T37" s="68"/>
      <c r="U37" s="68"/>
      <c r="V37" s="68"/>
      <c r="W37" s="68"/>
      <c r="X37" s="68"/>
    </row>
    <row r="38" spans="1:24" s="297" customFormat="1" ht="20.149999999999999" customHeight="1" thickTop="1" thickBot="1">
      <c r="A38" s="1225"/>
      <c r="B38" s="1240"/>
      <c r="C38" s="322"/>
      <c r="D38" s="323"/>
      <c r="E38" s="324"/>
      <c r="F38" s="323"/>
      <c r="G38" s="324"/>
      <c r="H38" s="1254"/>
      <c r="I38" s="1255"/>
      <c r="J38" s="1256"/>
      <c r="K38" s="68"/>
      <c r="L38" s="68"/>
      <c r="M38" s="68"/>
      <c r="N38" s="68"/>
      <c r="O38" s="68"/>
      <c r="P38" s="68"/>
      <c r="Q38" s="68"/>
      <c r="R38" s="68"/>
      <c r="S38" s="68"/>
      <c r="T38" s="68"/>
      <c r="U38" s="68"/>
      <c r="V38" s="68"/>
      <c r="W38" s="68"/>
      <c r="X38" s="68"/>
    </row>
    <row r="39" spans="1:24" s="297" customFormat="1" ht="20.149999999999999" customHeight="1" thickTop="1" thickBot="1">
      <c r="A39" s="1225"/>
      <c r="B39" s="1240"/>
      <c r="C39" s="322"/>
      <c r="D39" s="323"/>
      <c r="E39" s="324"/>
      <c r="F39" s="323"/>
      <c r="G39" s="324"/>
      <c r="H39" s="1254"/>
      <c r="I39" s="1255"/>
      <c r="J39" s="1256"/>
      <c r="K39" s="68"/>
      <c r="L39" s="68"/>
      <c r="M39" s="68"/>
      <c r="N39" s="68"/>
      <c r="O39" s="68"/>
      <c r="P39" s="68"/>
      <c r="Q39" s="68"/>
      <c r="R39" s="68"/>
      <c r="S39" s="68"/>
      <c r="T39" s="68"/>
      <c r="U39" s="68"/>
      <c r="V39" s="68"/>
      <c r="W39" s="68"/>
      <c r="X39" s="68"/>
    </row>
    <row r="40" spans="1:24" s="297" customFormat="1" ht="20.149999999999999" customHeight="1" thickTop="1" thickBot="1">
      <c r="A40" s="1225"/>
      <c r="B40" s="1240"/>
      <c r="C40" s="325"/>
      <c r="D40" s="326"/>
      <c r="E40" s="327"/>
      <c r="F40" s="326"/>
      <c r="G40" s="327"/>
      <c r="H40" s="1254"/>
      <c r="I40" s="1255"/>
      <c r="J40" s="1256"/>
      <c r="K40" s="68"/>
      <c r="L40" s="68"/>
      <c r="M40" s="68"/>
      <c r="N40" s="68"/>
      <c r="O40" s="68"/>
      <c r="P40" s="68"/>
      <c r="Q40" s="68"/>
      <c r="R40" s="68"/>
      <c r="S40" s="68"/>
      <c r="T40" s="68"/>
      <c r="U40" s="68"/>
      <c r="V40" s="68"/>
      <c r="W40" s="68"/>
      <c r="X40" s="68"/>
    </row>
    <row r="41" spans="1:24" s="297" customFormat="1" ht="20.149999999999999" customHeight="1" thickTop="1" thickBot="1">
      <c r="A41" s="1225"/>
      <c r="B41" s="1240"/>
      <c r="C41" s="322"/>
      <c r="D41" s="323"/>
      <c r="E41" s="324"/>
      <c r="F41" s="323"/>
      <c r="G41" s="324"/>
      <c r="H41" s="1254"/>
      <c r="I41" s="1255"/>
      <c r="J41" s="1256"/>
      <c r="K41" s="68"/>
      <c r="L41" s="68"/>
      <c r="M41" s="68"/>
      <c r="N41" s="68"/>
      <c r="O41" s="68"/>
      <c r="P41" s="68"/>
      <c r="Q41" s="68"/>
      <c r="R41" s="68"/>
      <c r="S41" s="68"/>
      <c r="T41" s="68"/>
      <c r="U41" s="68"/>
      <c r="V41" s="68"/>
      <c r="W41" s="68"/>
      <c r="X41" s="68"/>
    </row>
    <row r="42" spans="1:24" s="297" customFormat="1" ht="20.149999999999999" customHeight="1" thickTop="1" thickBot="1">
      <c r="A42" s="1226"/>
      <c r="B42" s="1241"/>
      <c r="C42" s="322"/>
      <c r="D42" s="323"/>
      <c r="E42" s="324"/>
      <c r="F42" s="323"/>
      <c r="G42" s="324"/>
      <c r="H42" s="1257"/>
      <c r="I42" s="1258"/>
      <c r="J42" s="1259"/>
      <c r="K42" s="68"/>
      <c r="L42" s="68"/>
      <c r="M42" s="68"/>
      <c r="N42" s="68"/>
      <c r="O42" s="68"/>
      <c r="P42" s="68"/>
      <c r="Q42" s="68"/>
      <c r="R42" s="68"/>
      <c r="S42" s="68"/>
      <c r="T42" s="68"/>
      <c r="U42" s="68"/>
      <c r="V42" s="68"/>
      <c r="W42" s="68"/>
      <c r="X42" s="68"/>
    </row>
    <row r="43" spans="1:24" s="297" customFormat="1" ht="40" customHeight="1" thickTop="1" thickBot="1">
      <c r="A43" s="1224" t="s">
        <v>1045</v>
      </c>
      <c r="B43" s="319" t="s">
        <v>180</v>
      </c>
      <c r="C43" s="309" t="s">
        <v>38</v>
      </c>
      <c r="D43" s="309" t="s">
        <v>1051</v>
      </c>
      <c r="E43" s="309" t="s">
        <v>1052</v>
      </c>
      <c r="F43" s="309" t="s">
        <v>1053</v>
      </c>
      <c r="G43" s="309" t="s">
        <v>1054</v>
      </c>
      <c r="H43" s="1251"/>
      <c r="I43" s="1252"/>
      <c r="J43" s="1253"/>
      <c r="K43" s="68"/>
      <c r="L43" s="68"/>
      <c r="M43" s="68"/>
      <c r="N43" s="68"/>
      <c r="O43" s="68"/>
      <c r="P43" s="68"/>
      <c r="Q43" s="68"/>
      <c r="R43" s="68"/>
      <c r="S43" s="68"/>
      <c r="T43" s="68"/>
      <c r="U43" s="68"/>
      <c r="V43" s="68"/>
      <c r="W43" s="68"/>
      <c r="X43" s="68"/>
    </row>
    <row r="44" spans="1:24" s="297" customFormat="1" ht="20.149999999999999" customHeight="1" thickTop="1" thickBot="1">
      <c r="A44" s="1225"/>
      <c r="B44" s="1240">
        <v>11</v>
      </c>
      <c r="C44" s="322"/>
      <c r="D44" s="323"/>
      <c r="E44" s="324"/>
      <c r="F44" s="323"/>
      <c r="G44" s="324"/>
      <c r="H44" s="1254"/>
      <c r="I44" s="1255"/>
      <c r="J44" s="1256"/>
      <c r="K44" s="68"/>
      <c r="L44" s="68"/>
      <c r="M44" s="68"/>
      <c r="N44" s="68"/>
      <c r="O44" s="68"/>
      <c r="P44" s="68"/>
      <c r="Q44" s="68"/>
      <c r="R44" s="68"/>
      <c r="S44" s="68"/>
      <c r="T44" s="68"/>
      <c r="U44" s="68"/>
      <c r="V44" s="68"/>
      <c r="W44" s="68"/>
      <c r="X44" s="68"/>
    </row>
    <row r="45" spans="1:24" s="297" customFormat="1" ht="20.149999999999999" customHeight="1" thickTop="1" thickBot="1">
      <c r="A45" s="1225"/>
      <c r="B45" s="1240"/>
      <c r="C45" s="322"/>
      <c r="D45" s="323"/>
      <c r="E45" s="324"/>
      <c r="F45" s="323"/>
      <c r="G45" s="324"/>
      <c r="H45" s="1254"/>
      <c r="I45" s="1255"/>
      <c r="J45" s="1256"/>
      <c r="K45" s="68"/>
      <c r="L45" s="68"/>
      <c r="M45" s="68"/>
      <c r="N45" s="68"/>
      <c r="O45" s="68"/>
      <c r="P45" s="68"/>
      <c r="Q45" s="68"/>
      <c r="R45" s="68"/>
      <c r="S45" s="68"/>
      <c r="T45" s="68"/>
      <c r="U45" s="68"/>
      <c r="V45" s="68"/>
      <c r="W45" s="68"/>
      <c r="X45" s="68"/>
    </row>
    <row r="46" spans="1:24" s="297" customFormat="1" ht="20.149999999999999" customHeight="1" thickTop="1" thickBot="1">
      <c r="A46" s="1225"/>
      <c r="B46" s="1240"/>
      <c r="C46" s="322"/>
      <c r="D46" s="323"/>
      <c r="E46" s="324"/>
      <c r="F46" s="323"/>
      <c r="G46" s="324"/>
      <c r="H46" s="1254"/>
      <c r="I46" s="1255"/>
      <c r="J46" s="1256"/>
      <c r="K46" s="68"/>
      <c r="L46" s="68"/>
      <c r="M46" s="68"/>
      <c r="N46" s="68"/>
      <c r="O46" s="68"/>
      <c r="P46" s="68"/>
      <c r="Q46" s="68"/>
      <c r="R46" s="68"/>
      <c r="S46" s="68"/>
      <c r="T46" s="68"/>
      <c r="U46" s="68"/>
      <c r="V46" s="68"/>
      <c r="W46" s="68"/>
      <c r="X46" s="68"/>
    </row>
    <row r="47" spans="1:24" s="297" customFormat="1" ht="20.149999999999999" customHeight="1" thickTop="1" thickBot="1">
      <c r="A47" s="1225"/>
      <c r="B47" s="1240"/>
      <c r="C47" s="322"/>
      <c r="D47" s="323"/>
      <c r="E47" s="324"/>
      <c r="F47" s="323"/>
      <c r="G47" s="324"/>
      <c r="H47" s="1254"/>
      <c r="I47" s="1255"/>
      <c r="J47" s="1256"/>
      <c r="K47" s="68"/>
      <c r="L47" s="68"/>
      <c r="M47" s="68"/>
      <c r="N47" s="68"/>
      <c r="O47" s="68"/>
      <c r="P47" s="68"/>
      <c r="Q47" s="68"/>
      <c r="R47" s="68"/>
      <c r="S47" s="68"/>
      <c r="T47" s="68"/>
      <c r="U47" s="68"/>
      <c r="V47" s="68"/>
      <c r="W47" s="68"/>
      <c r="X47" s="68"/>
    </row>
    <row r="48" spans="1:24" s="297" customFormat="1" ht="20.149999999999999" customHeight="1" thickTop="1" thickBot="1">
      <c r="A48" s="1225"/>
      <c r="B48" s="1240"/>
      <c r="C48" s="322"/>
      <c r="D48" s="323"/>
      <c r="E48" s="324"/>
      <c r="F48" s="323"/>
      <c r="G48" s="324"/>
      <c r="H48" s="1254"/>
      <c r="I48" s="1255"/>
      <c r="J48" s="1256"/>
      <c r="K48" s="68"/>
      <c r="L48" s="68"/>
      <c r="M48" s="68"/>
      <c r="N48" s="68"/>
      <c r="O48" s="68"/>
      <c r="P48" s="68"/>
      <c r="Q48" s="68"/>
      <c r="R48" s="68"/>
      <c r="S48" s="68"/>
      <c r="T48" s="68"/>
      <c r="U48" s="68"/>
      <c r="V48" s="68"/>
      <c r="W48" s="68"/>
      <c r="X48" s="68"/>
    </row>
    <row r="49" spans="1:24" s="297" customFormat="1" ht="20.149999999999999" customHeight="1" thickTop="1" thickBot="1">
      <c r="A49" s="1225"/>
      <c r="B49" s="1240"/>
      <c r="C49" s="325"/>
      <c r="D49" s="326"/>
      <c r="E49" s="327"/>
      <c r="F49" s="326"/>
      <c r="G49" s="327"/>
      <c r="H49" s="1254"/>
      <c r="I49" s="1255"/>
      <c r="J49" s="1256"/>
      <c r="K49" s="68"/>
      <c r="L49" s="68"/>
      <c r="M49" s="68"/>
      <c r="N49" s="68"/>
      <c r="O49" s="68"/>
      <c r="P49" s="68"/>
      <c r="Q49" s="68"/>
      <c r="R49" s="68"/>
      <c r="S49" s="68"/>
      <c r="T49" s="68"/>
      <c r="U49" s="68"/>
      <c r="V49" s="68"/>
      <c r="W49" s="68"/>
      <c r="X49" s="68"/>
    </row>
    <row r="50" spans="1:24" s="297" customFormat="1" ht="20.149999999999999" customHeight="1" thickTop="1" thickBot="1">
      <c r="A50" s="1225"/>
      <c r="B50" s="1240"/>
      <c r="C50" s="322"/>
      <c r="D50" s="323"/>
      <c r="E50" s="324"/>
      <c r="F50" s="323"/>
      <c r="G50" s="324"/>
      <c r="H50" s="1254"/>
      <c r="I50" s="1255"/>
      <c r="J50" s="1256"/>
      <c r="K50" s="68"/>
      <c r="L50" s="68"/>
      <c r="M50" s="68"/>
      <c r="N50" s="68"/>
      <c r="O50" s="68"/>
      <c r="P50" s="68"/>
      <c r="Q50" s="68"/>
      <c r="R50" s="68"/>
      <c r="S50" s="68"/>
      <c r="T50" s="68"/>
      <c r="U50" s="68"/>
      <c r="V50" s="68"/>
      <c r="W50" s="68"/>
      <c r="X50" s="68"/>
    </row>
    <row r="51" spans="1:24" s="297" customFormat="1" ht="20.149999999999999" customHeight="1" thickTop="1" thickBot="1">
      <c r="A51" s="1226"/>
      <c r="B51" s="1241"/>
      <c r="C51" s="322"/>
      <c r="D51" s="323"/>
      <c r="E51" s="324"/>
      <c r="F51" s="323"/>
      <c r="G51" s="324"/>
      <c r="H51" s="1257"/>
      <c r="I51" s="1258"/>
      <c r="J51" s="1259"/>
      <c r="K51" s="68"/>
      <c r="L51" s="68"/>
      <c r="M51" s="68"/>
      <c r="N51" s="68"/>
      <c r="O51" s="68"/>
      <c r="P51" s="68"/>
      <c r="Q51" s="68"/>
      <c r="R51" s="68"/>
      <c r="S51" s="68"/>
      <c r="T51" s="68"/>
      <c r="U51" s="68"/>
      <c r="V51" s="68"/>
      <c r="W51" s="68"/>
      <c r="X51" s="68"/>
    </row>
    <row r="52" spans="1:24" s="297" customFormat="1" ht="40" customHeight="1" thickTop="1" thickBot="1">
      <c r="A52" s="1224" t="s">
        <v>1055</v>
      </c>
      <c r="B52" s="319" t="s">
        <v>180</v>
      </c>
      <c r="C52" s="309" t="s">
        <v>38</v>
      </c>
      <c r="D52" s="309" t="s">
        <v>1051</v>
      </c>
      <c r="E52" s="309" t="s">
        <v>1052</v>
      </c>
      <c r="F52" s="309" t="s">
        <v>1053</v>
      </c>
      <c r="G52" s="309" t="s">
        <v>1054</v>
      </c>
      <c r="H52" s="1251"/>
      <c r="I52" s="1252"/>
      <c r="J52" s="1253"/>
      <c r="K52" s="68"/>
      <c r="L52" s="68"/>
      <c r="M52" s="68"/>
      <c r="N52" s="68"/>
      <c r="O52" s="68"/>
      <c r="P52" s="68"/>
      <c r="Q52" s="68"/>
      <c r="R52" s="68"/>
      <c r="S52" s="68"/>
      <c r="T52" s="68"/>
      <c r="U52" s="68"/>
      <c r="V52" s="68"/>
      <c r="W52" s="68"/>
      <c r="X52" s="68"/>
    </row>
    <row r="53" spans="1:24" s="297" customFormat="1" ht="20.149999999999999" customHeight="1" thickTop="1" thickBot="1">
      <c r="A53" s="1225"/>
      <c r="B53" s="1240">
        <v>12</v>
      </c>
      <c r="C53" s="322"/>
      <c r="D53" s="323"/>
      <c r="E53" s="324"/>
      <c r="F53" s="323"/>
      <c r="G53" s="324"/>
      <c r="H53" s="1254"/>
      <c r="I53" s="1255"/>
      <c r="J53" s="1256"/>
      <c r="K53" s="68"/>
      <c r="L53" s="68"/>
      <c r="M53" s="68"/>
      <c r="N53" s="68"/>
      <c r="O53" s="68"/>
      <c r="P53" s="68"/>
      <c r="Q53" s="68"/>
      <c r="R53" s="68"/>
      <c r="S53" s="68"/>
      <c r="T53" s="68"/>
      <c r="U53" s="68"/>
      <c r="V53" s="68"/>
      <c r="W53" s="68"/>
      <c r="X53" s="68"/>
    </row>
    <row r="54" spans="1:24" s="297" customFormat="1" ht="20.149999999999999" customHeight="1" thickTop="1" thickBot="1">
      <c r="A54" s="1225"/>
      <c r="B54" s="1240"/>
      <c r="C54" s="322"/>
      <c r="D54" s="323"/>
      <c r="E54" s="324"/>
      <c r="F54" s="323"/>
      <c r="G54" s="324"/>
      <c r="H54" s="1254"/>
      <c r="I54" s="1255"/>
      <c r="J54" s="1256"/>
      <c r="K54" s="68"/>
      <c r="L54" s="68"/>
      <c r="M54" s="68"/>
      <c r="N54" s="68"/>
      <c r="O54" s="68"/>
      <c r="P54" s="68"/>
      <c r="Q54" s="68"/>
      <c r="R54" s="68"/>
      <c r="S54" s="68"/>
      <c r="T54" s="68"/>
      <c r="U54" s="68"/>
      <c r="V54" s="68"/>
      <c r="W54" s="68"/>
      <c r="X54" s="68"/>
    </row>
    <row r="55" spans="1:24" s="297" customFormat="1" ht="20.149999999999999" customHeight="1" thickTop="1" thickBot="1">
      <c r="A55" s="1225"/>
      <c r="B55" s="1240"/>
      <c r="C55" s="322"/>
      <c r="D55" s="323"/>
      <c r="E55" s="324"/>
      <c r="F55" s="323"/>
      <c r="G55" s="324"/>
      <c r="H55" s="1254"/>
      <c r="I55" s="1255"/>
      <c r="J55" s="1256"/>
      <c r="K55" s="68"/>
      <c r="L55" s="68"/>
      <c r="M55" s="68"/>
      <c r="N55" s="68"/>
      <c r="O55" s="68"/>
      <c r="P55" s="68"/>
      <c r="Q55" s="68"/>
      <c r="R55" s="68"/>
      <c r="S55" s="68"/>
      <c r="T55" s="68"/>
      <c r="U55" s="68"/>
      <c r="V55" s="68"/>
      <c r="W55" s="68"/>
      <c r="X55" s="68"/>
    </row>
    <row r="56" spans="1:24" s="297" customFormat="1" ht="20.149999999999999" customHeight="1" thickTop="1" thickBot="1">
      <c r="A56" s="1225"/>
      <c r="B56" s="1240"/>
      <c r="C56" s="322"/>
      <c r="D56" s="323"/>
      <c r="E56" s="324"/>
      <c r="F56" s="323"/>
      <c r="G56" s="324"/>
      <c r="H56" s="1254"/>
      <c r="I56" s="1255"/>
      <c r="J56" s="1256"/>
      <c r="K56" s="68"/>
      <c r="L56" s="68"/>
      <c r="M56" s="68"/>
      <c r="N56" s="68"/>
      <c r="O56" s="68"/>
      <c r="P56" s="68"/>
      <c r="Q56" s="68"/>
      <c r="R56" s="68"/>
      <c r="S56" s="68"/>
      <c r="T56" s="68"/>
      <c r="U56" s="68"/>
      <c r="V56" s="68"/>
      <c r="W56" s="68"/>
      <c r="X56" s="68"/>
    </row>
    <row r="57" spans="1:24" s="297" customFormat="1" ht="20.149999999999999" customHeight="1" thickTop="1" thickBot="1">
      <c r="A57" s="1225"/>
      <c r="B57" s="1240"/>
      <c r="C57" s="322"/>
      <c r="D57" s="323"/>
      <c r="E57" s="324"/>
      <c r="F57" s="323"/>
      <c r="G57" s="324"/>
      <c r="H57" s="1254"/>
      <c r="I57" s="1255"/>
      <c r="J57" s="1256"/>
      <c r="K57" s="68"/>
      <c r="L57" s="68"/>
      <c r="M57" s="68"/>
      <c r="N57" s="68"/>
      <c r="O57" s="68"/>
      <c r="P57" s="68"/>
      <c r="Q57" s="68"/>
      <c r="R57" s="68"/>
      <c r="S57" s="68"/>
      <c r="T57" s="68"/>
      <c r="U57" s="68"/>
      <c r="V57" s="68"/>
      <c r="W57" s="68"/>
      <c r="X57" s="68"/>
    </row>
    <row r="58" spans="1:24" s="297" customFormat="1" ht="20.149999999999999" customHeight="1" thickTop="1" thickBot="1">
      <c r="A58" s="1225"/>
      <c r="B58" s="1240"/>
      <c r="C58" s="325"/>
      <c r="D58" s="326"/>
      <c r="E58" s="327"/>
      <c r="F58" s="326"/>
      <c r="G58" s="327"/>
      <c r="H58" s="1254"/>
      <c r="I58" s="1255"/>
      <c r="J58" s="1256"/>
      <c r="K58" s="68"/>
      <c r="L58" s="68"/>
      <c r="M58" s="68"/>
      <c r="N58" s="68"/>
      <c r="O58" s="68"/>
      <c r="P58" s="68"/>
      <c r="Q58" s="68"/>
      <c r="R58" s="68"/>
      <c r="S58" s="68"/>
      <c r="T58" s="68"/>
      <c r="U58" s="68"/>
      <c r="V58" s="68"/>
      <c r="W58" s="68"/>
      <c r="X58" s="68"/>
    </row>
    <row r="59" spans="1:24" s="297" customFormat="1" ht="20.149999999999999" customHeight="1" thickTop="1" thickBot="1">
      <c r="A59" s="1225"/>
      <c r="B59" s="1240"/>
      <c r="C59" s="322"/>
      <c r="D59" s="323"/>
      <c r="E59" s="324"/>
      <c r="F59" s="323"/>
      <c r="G59" s="324"/>
      <c r="H59" s="1254"/>
      <c r="I59" s="1255"/>
      <c r="J59" s="1256"/>
      <c r="K59" s="68"/>
      <c r="L59" s="68"/>
      <c r="M59" s="68"/>
      <c r="N59" s="68"/>
      <c r="O59" s="68"/>
      <c r="P59" s="68"/>
      <c r="Q59" s="68"/>
      <c r="R59" s="68"/>
      <c r="S59" s="68"/>
      <c r="T59" s="68"/>
      <c r="U59" s="68"/>
      <c r="V59" s="68"/>
      <c r="W59" s="68"/>
      <c r="X59" s="68"/>
    </row>
    <row r="60" spans="1:24" s="297" customFormat="1" ht="20.149999999999999" customHeight="1" thickTop="1" thickBot="1">
      <c r="A60" s="1226"/>
      <c r="B60" s="1241"/>
      <c r="C60" s="322"/>
      <c r="D60" s="323"/>
      <c r="E60" s="324"/>
      <c r="F60" s="323"/>
      <c r="G60" s="324"/>
      <c r="H60" s="1257"/>
      <c r="I60" s="1258"/>
      <c r="J60" s="1259"/>
      <c r="K60" s="68"/>
      <c r="L60" s="68"/>
      <c r="M60" s="68"/>
      <c r="N60" s="68"/>
      <c r="O60" s="68"/>
      <c r="P60" s="68"/>
      <c r="Q60" s="68"/>
      <c r="R60" s="68"/>
      <c r="S60" s="68"/>
      <c r="T60" s="68"/>
      <c r="U60" s="68"/>
      <c r="V60" s="68"/>
      <c r="W60" s="68"/>
      <c r="X60" s="68"/>
    </row>
    <row r="61" spans="1:24" s="297" customFormat="1" ht="20.149999999999999" customHeight="1" thickTop="1">
      <c r="A61" s="1224" t="s">
        <v>1046</v>
      </c>
      <c r="B61" s="1275" t="s">
        <v>180</v>
      </c>
      <c r="C61" s="1275" t="s">
        <v>38</v>
      </c>
      <c r="D61" s="1275" t="s">
        <v>184</v>
      </c>
      <c r="E61" s="1275" t="s">
        <v>96</v>
      </c>
      <c r="F61" s="1251"/>
      <c r="G61" s="1252"/>
      <c r="H61" s="1252"/>
      <c r="I61" s="1252"/>
      <c r="J61" s="1253"/>
      <c r="K61" s="68"/>
      <c r="L61" s="68"/>
      <c r="M61" s="68"/>
      <c r="N61" s="68"/>
      <c r="O61" s="68"/>
      <c r="P61" s="68"/>
      <c r="Q61" s="68"/>
      <c r="R61" s="68"/>
      <c r="S61" s="68"/>
      <c r="T61" s="68"/>
      <c r="U61" s="68"/>
      <c r="V61" s="68"/>
      <c r="W61" s="68"/>
      <c r="X61" s="68"/>
    </row>
    <row r="62" spans="1:24" s="297" customFormat="1" ht="20.149999999999999" customHeight="1" thickBot="1">
      <c r="A62" s="1225"/>
      <c r="B62" s="1276"/>
      <c r="C62" s="1276"/>
      <c r="D62" s="1276"/>
      <c r="E62" s="1276"/>
      <c r="F62" s="1254"/>
      <c r="G62" s="1255"/>
      <c r="H62" s="1255"/>
      <c r="I62" s="1255"/>
      <c r="J62" s="1256"/>
      <c r="K62" s="68"/>
      <c r="L62" s="68"/>
      <c r="M62" s="68"/>
      <c r="N62" s="68"/>
      <c r="O62" s="68"/>
      <c r="P62" s="68"/>
      <c r="Q62" s="68"/>
      <c r="R62" s="68"/>
      <c r="S62" s="68"/>
      <c r="T62" s="68"/>
      <c r="U62" s="68"/>
      <c r="V62" s="68"/>
      <c r="W62" s="68"/>
      <c r="X62" s="68"/>
    </row>
    <row r="63" spans="1:24" s="297" customFormat="1" ht="20.149999999999999" customHeight="1" thickTop="1" thickBot="1">
      <c r="A63" s="1225"/>
      <c r="B63" s="1239">
        <v>13</v>
      </c>
      <c r="C63" s="304"/>
      <c r="D63" s="328"/>
      <c r="E63" s="307"/>
      <c r="F63" s="1254"/>
      <c r="G63" s="1255"/>
      <c r="H63" s="1255"/>
      <c r="I63" s="1255"/>
      <c r="J63" s="1256"/>
      <c r="K63" s="68"/>
      <c r="L63" s="68"/>
      <c r="M63" s="68"/>
      <c r="N63" s="68"/>
      <c r="O63" s="68"/>
      <c r="P63" s="68"/>
      <c r="Q63" s="68"/>
      <c r="R63" s="68"/>
      <c r="S63" s="68"/>
      <c r="T63" s="68"/>
      <c r="U63" s="68"/>
      <c r="V63" s="68"/>
      <c r="W63" s="68"/>
      <c r="X63" s="68"/>
    </row>
    <row r="64" spans="1:24" s="297" customFormat="1" ht="20.149999999999999" customHeight="1" thickTop="1" thickBot="1">
      <c r="A64" s="1225"/>
      <c r="B64" s="1240"/>
      <c r="C64" s="304"/>
      <c r="D64" s="328"/>
      <c r="E64" s="307"/>
      <c r="F64" s="1254"/>
      <c r="G64" s="1255"/>
      <c r="H64" s="1255"/>
      <c r="I64" s="1255"/>
      <c r="J64" s="1256"/>
      <c r="K64" s="68"/>
      <c r="L64" s="68"/>
      <c r="M64" s="68"/>
      <c r="N64" s="68"/>
      <c r="O64" s="68"/>
      <c r="P64" s="68"/>
      <c r="Q64" s="68"/>
      <c r="R64" s="68"/>
      <c r="S64" s="68"/>
      <c r="T64" s="68"/>
      <c r="U64" s="68"/>
      <c r="V64" s="68"/>
      <c r="W64" s="68"/>
      <c r="X64" s="68"/>
    </row>
    <row r="65" spans="1:24" s="297" customFormat="1" ht="20.149999999999999" customHeight="1" thickTop="1" thickBot="1">
      <c r="A65" s="1225"/>
      <c r="B65" s="1240"/>
      <c r="C65" s="304"/>
      <c r="D65" s="328"/>
      <c r="E65" s="307"/>
      <c r="F65" s="1254"/>
      <c r="G65" s="1255"/>
      <c r="H65" s="1255"/>
      <c r="I65" s="1255"/>
      <c r="J65" s="1256"/>
      <c r="K65" s="68"/>
      <c r="L65" s="68"/>
      <c r="M65" s="68"/>
      <c r="N65" s="68"/>
      <c r="O65" s="68"/>
      <c r="P65" s="68"/>
      <c r="Q65" s="68"/>
      <c r="R65" s="68"/>
      <c r="S65" s="68"/>
      <c r="T65" s="68"/>
      <c r="U65" s="68"/>
      <c r="V65" s="68"/>
      <c r="W65" s="68"/>
      <c r="X65" s="68"/>
    </row>
    <row r="66" spans="1:24" s="297" customFormat="1" ht="20.149999999999999" customHeight="1" thickTop="1" thickBot="1">
      <c r="A66" s="1225"/>
      <c r="B66" s="1240"/>
      <c r="C66" s="304"/>
      <c r="D66" s="328"/>
      <c r="E66" s="307"/>
      <c r="F66" s="1254"/>
      <c r="G66" s="1255"/>
      <c r="H66" s="1255"/>
      <c r="I66" s="1255"/>
      <c r="J66" s="1256"/>
      <c r="K66" s="68"/>
      <c r="L66" s="68"/>
      <c r="M66" s="68"/>
      <c r="N66" s="68"/>
      <c r="O66" s="68"/>
      <c r="P66" s="68"/>
      <c r="Q66" s="68"/>
      <c r="R66" s="68"/>
      <c r="S66" s="68"/>
      <c r="T66" s="68"/>
      <c r="U66" s="68"/>
      <c r="V66" s="68"/>
      <c r="W66" s="68"/>
      <c r="X66" s="68"/>
    </row>
    <row r="67" spans="1:24" s="297" customFormat="1" ht="20.149999999999999" customHeight="1" thickTop="1" thickBot="1">
      <c r="A67" s="1225"/>
      <c r="B67" s="1240"/>
      <c r="C67" s="304"/>
      <c r="D67" s="328"/>
      <c r="E67" s="307"/>
      <c r="F67" s="1254"/>
      <c r="G67" s="1255"/>
      <c r="H67" s="1255"/>
      <c r="I67" s="1255"/>
      <c r="J67" s="1256"/>
      <c r="K67" s="68"/>
      <c r="L67" s="68"/>
      <c r="M67" s="68"/>
      <c r="N67" s="68"/>
      <c r="O67" s="68"/>
      <c r="P67" s="68"/>
      <c r="Q67" s="68"/>
      <c r="R67" s="68"/>
      <c r="S67" s="68"/>
      <c r="T67" s="68"/>
      <c r="U67" s="68"/>
      <c r="V67" s="68"/>
      <c r="W67" s="68"/>
      <c r="X67" s="68"/>
    </row>
    <row r="68" spans="1:24" s="297" customFormat="1" ht="20.149999999999999" customHeight="1" thickTop="1" thickBot="1">
      <c r="A68" s="1225"/>
      <c r="B68" s="1240"/>
      <c r="C68" s="304"/>
      <c r="D68" s="328"/>
      <c r="E68" s="307"/>
      <c r="F68" s="1254"/>
      <c r="G68" s="1255"/>
      <c r="H68" s="1255"/>
      <c r="I68" s="1255"/>
      <c r="J68" s="1256"/>
      <c r="K68" s="68"/>
      <c r="L68" s="68"/>
      <c r="M68" s="68"/>
      <c r="N68" s="68"/>
      <c r="O68" s="68"/>
      <c r="P68" s="68"/>
      <c r="Q68" s="68"/>
      <c r="R68" s="68"/>
      <c r="S68" s="68"/>
      <c r="T68" s="68"/>
      <c r="U68" s="68"/>
      <c r="V68" s="68"/>
      <c r="W68" s="68"/>
      <c r="X68" s="68"/>
    </row>
    <row r="69" spans="1:24" s="297" customFormat="1" ht="20.149999999999999" customHeight="1" thickTop="1" thickBot="1">
      <c r="A69" s="1225"/>
      <c r="B69" s="1240"/>
      <c r="C69" s="304"/>
      <c r="D69" s="328"/>
      <c r="E69" s="307"/>
      <c r="F69" s="1254"/>
      <c r="G69" s="1255"/>
      <c r="H69" s="1255"/>
      <c r="I69" s="1255"/>
      <c r="J69" s="1256"/>
      <c r="K69" s="68"/>
      <c r="L69" s="68"/>
      <c r="M69" s="68"/>
      <c r="N69" s="68"/>
      <c r="O69" s="68"/>
      <c r="P69" s="68"/>
      <c r="Q69" s="68"/>
      <c r="R69" s="68"/>
      <c r="S69" s="68"/>
      <c r="T69" s="68"/>
      <c r="U69" s="68"/>
      <c r="V69" s="68"/>
      <c r="W69" s="68"/>
      <c r="X69" s="68"/>
    </row>
    <row r="70" spans="1:24" s="297" customFormat="1" ht="20.149999999999999" customHeight="1" thickTop="1" thickBot="1">
      <c r="A70" s="1226"/>
      <c r="B70" s="1241"/>
      <c r="C70" s="304"/>
      <c r="D70" s="328"/>
      <c r="E70" s="307"/>
      <c r="F70" s="1257"/>
      <c r="G70" s="1258"/>
      <c r="H70" s="1258"/>
      <c r="I70" s="1258"/>
      <c r="J70" s="1259"/>
      <c r="K70" s="68"/>
      <c r="L70" s="68"/>
      <c r="M70" s="68"/>
      <c r="N70" s="68"/>
      <c r="O70" s="68"/>
      <c r="P70" s="68"/>
      <c r="Q70" s="68"/>
      <c r="R70" s="68"/>
      <c r="S70" s="68"/>
      <c r="T70" s="68"/>
      <c r="U70" s="68"/>
      <c r="V70" s="68"/>
      <c r="W70" s="68"/>
      <c r="X70" s="68"/>
    </row>
    <row r="71" spans="1:24" s="297" customFormat="1" ht="40" customHeight="1" thickTop="1" thickBot="1">
      <c r="A71" s="1224" t="s">
        <v>1063</v>
      </c>
      <c r="B71" s="309" t="s">
        <v>180</v>
      </c>
      <c r="C71" s="309" t="s">
        <v>38</v>
      </c>
      <c r="D71" s="309" t="s">
        <v>184</v>
      </c>
      <c r="E71" s="309" t="s">
        <v>96</v>
      </c>
      <c r="F71" s="1251"/>
      <c r="G71" s="1252"/>
      <c r="H71" s="1252"/>
      <c r="I71" s="1252"/>
      <c r="J71" s="1253"/>
      <c r="K71" s="68"/>
      <c r="L71" s="68"/>
      <c r="M71" s="68"/>
      <c r="N71" s="68"/>
      <c r="O71" s="68"/>
      <c r="P71" s="68"/>
      <c r="Q71" s="68"/>
      <c r="R71" s="68"/>
      <c r="S71" s="68"/>
      <c r="T71" s="68"/>
      <c r="U71" s="68"/>
      <c r="V71" s="68"/>
      <c r="W71" s="68"/>
      <c r="X71" s="68"/>
    </row>
    <row r="72" spans="1:24" s="297" customFormat="1" ht="20.149999999999999" customHeight="1" thickTop="1" thickBot="1">
      <c r="A72" s="1225"/>
      <c r="B72" s="1240">
        <v>13</v>
      </c>
      <c r="C72" s="288"/>
      <c r="D72" s="289"/>
      <c r="E72" s="292"/>
      <c r="F72" s="1254"/>
      <c r="G72" s="1255"/>
      <c r="H72" s="1255"/>
      <c r="I72" s="1255"/>
      <c r="J72" s="1256"/>
      <c r="K72" s="68"/>
      <c r="L72" s="68"/>
      <c r="M72" s="68"/>
      <c r="N72" s="68"/>
      <c r="O72" s="68"/>
      <c r="P72" s="68"/>
      <c r="Q72" s="68"/>
      <c r="R72" s="68"/>
      <c r="S72" s="68"/>
      <c r="T72" s="68"/>
      <c r="U72" s="68"/>
      <c r="V72" s="68"/>
      <c r="W72" s="68"/>
      <c r="X72" s="68"/>
    </row>
    <row r="73" spans="1:24" s="297" customFormat="1" ht="20.149999999999999" customHeight="1" thickTop="1" thickBot="1">
      <c r="A73" s="1225"/>
      <c r="B73" s="1240"/>
      <c r="C73" s="288"/>
      <c r="D73" s="289"/>
      <c r="E73" s="292"/>
      <c r="F73" s="1254"/>
      <c r="G73" s="1255"/>
      <c r="H73" s="1255"/>
      <c r="I73" s="1255"/>
      <c r="J73" s="1256"/>
      <c r="K73" s="68"/>
      <c r="L73" s="68"/>
      <c r="M73" s="68"/>
      <c r="N73" s="68"/>
      <c r="O73" s="68"/>
      <c r="P73" s="68"/>
      <c r="Q73" s="68"/>
      <c r="R73" s="68"/>
      <c r="S73" s="68"/>
      <c r="T73" s="68"/>
      <c r="U73" s="68"/>
      <c r="V73" s="68"/>
      <c r="W73" s="68"/>
      <c r="X73" s="68"/>
    </row>
    <row r="74" spans="1:24" s="297" customFormat="1" ht="20.149999999999999" customHeight="1" thickTop="1" thickBot="1">
      <c r="A74" s="1225"/>
      <c r="B74" s="1240"/>
      <c r="C74" s="288"/>
      <c r="D74" s="289"/>
      <c r="E74" s="292"/>
      <c r="F74" s="1254"/>
      <c r="G74" s="1255"/>
      <c r="H74" s="1255"/>
      <c r="I74" s="1255"/>
      <c r="J74" s="1256"/>
      <c r="K74" s="68"/>
      <c r="L74" s="68"/>
      <c r="M74" s="68"/>
      <c r="N74" s="68"/>
      <c r="O74" s="68"/>
      <c r="P74" s="68"/>
      <c r="Q74" s="68"/>
      <c r="R74" s="68"/>
      <c r="S74" s="68"/>
      <c r="T74" s="68"/>
      <c r="U74" s="68"/>
      <c r="V74" s="68"/>
      <c r="W74" s="68"/>
      <c r="X74" s="68"/>
    </row>
    <row r="75" spans="1:24" s="297" customFormat="1" ht="20.149999999999999" customHeight="1" thickTop="1" thickBot="1">
      <c r="A75" s="1225"/>
      <c r="B75" s="1240"/>
      <c r="C75" s="288"/>
      <c r="D75" s="289"/>
      <c r="E75" s="292"/>
      <c r="F75" s="1254"/>
      <c r="G75" s="1255"/>
      <c r="H75" s="1255"/>
      <c r="I75" s="1255"/>
      <c r="J75" s="1256"/>
      <c r="K75" s="68"/>
      <c r="L75" s="68"/>
      <c r="M75" s="68"/>
      <c r="N75" s="68"/>
      <c r="O75" s="68"/>
      <c r="P75" s="68"/>
      <c r="Q75" s="68"/>
      <c r="R75" s="68"/>
      <c r="S75" s="68"/>
      <c r="T75" s="68"/>
      <c r="U75" s="68"/>
      <c r="V75" s="68"/>
      <c r="W75" s="68"/>
      <c r="X75" s="68"/>
    </row>
    <row r="76" spans="1:24" s="297" customFormat="1" ht="20.149999999999999" customHeight="1" thickTop="1" thickBot="1">
      <c r="A76" s="1225"/>
      <c r="B76" s="1240"/>
      <c r="C76" s="288"/>
      <c r="D76" s="289"/>
      <c r="E76" s="292"/>
      <c r="F76" s="1254"/>
      <c r="G76" s="1255"/>
      <c r="H76" s="1255"/>
      <c r="I76" s="1255"/>
      <c r="J76" s="1256"/>
      <c r="K76" s="68"/>
      <c r="L76" s="68"/>
      <c r="M76" s="68"/>
      <c r="N76" s="68"/>
      <c r="O76" s="68"/>
      <c r="P76" s="68"/>
      <c r="Q76" s="68"/>
      <c r="R76" s="68"/>
      <c r="S76" s="68"/>
      <c r="T76" s="68"/>
      <c r="U76" s="68"/>
      <c r="V76" s="68"/>
      <c r="W76" s="68"/>
      <c r="X76" s="68"/>
    </row>
    <row r="77" spans="1:24" s="297" customFormat="1" ht="20.149999999999999" customHeight="1" thickTop="1" thickBot="1">
      <c r="A77" s="1225"/>
      <c r="B77" s="1240"/>
      <c r="C77" s="288"/>
      <c r="D77" s="289"/>
      <c r="E77" s="292"/>
      <c r="F77" s="1254"/>
      <c r="G77" s="1255"/>
      <c r="H77" s="1255"/>
      <c r="I77" s="1255"/>
      <c r="J77" s="1256"/>
      <c r="K77" s="68"/>
      <c r="L77" s="68"/>
      <c r="M77" s="68"/>
      <c r="N77" s="68"/>
      <c r="O77" s="68"/>
      <c r="P77" s="68"/>
      <c r="Q77" s="68"/>
      <c r="R77" s="68"/>
      <c r="S77" s="68"/>
      <c r="T77" s="68"/>
      <c r="U77" s="68"/>
      <c r="V77" s="68"/>
      <c r="W77" s="68"/>
      <c r="X77" s="68"/>
    </row>
    <row r="78" spans="1:24" s="297" customFormat="1" ht="20.149999999999999" customHeight="1" thickTop="1" thickBot="1">
      <c r="A78" s="1225"/>
      <c r="B78" s="1240"/>
      <c r="C78" s="288"/>
      <c r="D78" s="289"/>
      <c r="E78" s="292"/>
      <c r="F78" s="1254"/>
      <c r="G78" s="1255"/>
      <c r="H78" s="1255"/>
      <c r="I78" s="1255"/>
      <c r="J78" s="1256"/>
      <c r="K78" s="68"/>
      <c r="L78" s="68"/>
      <c r="M78" s="68"/>
      <c r="N78" s="68"/>
      <c r="O78" s="68"/>
      <c r="P78" s="68"/>
      <c r="Q78" s="68"/>
      <c r="R78" s="68"/>
      <c r="S78" s="68"/>
      <c r="T78" s="68"/>
      <c r="U78" s="68"/>
      <c r="V78" s="68"/>
      <c r="W78" s="68"/>
      <c r="X78" s="68"/>
    </row>
    <row r="79" spans="1:24" s="297" customFormat="1" ht="20.149999999999999" customHeight="1" thickTop="1" thickBot="1">
      <c r="A79" s="1226"/>
      <c r="B79" s="1241"/>
      <c r="C79" s="288"/>
      <c r="D79" s="289"/>
      <c r="E79" s="292"/>
      <c r="F79" s="1257"/>
      <c r="G79" s="1258"/>
      <c r="H79" s="1258"/>
      <c r="I79" s="1258"/>
      <c r="J79" s="1259"/>
      <c r="K79" s="68"/>
      <c r="L79" s="68"/>
      <c r="M79" s="68"/>
      <c r="N79" s="68"/>
      <c r="O79" s="68"/>
      <c r="P79" s="68"/>
      <c r="Q79" s="68"/>
      <c r="R79" s="68"/>
      <c r="S79" s="68"/>
      <c r="T79" s="68"/>
      <c r="U79" s="68"/>
      <c r="V79" s="68"/>
      <c r="W79" s="68"/>
      <c r="X79" s="68"/>
    </row>
    <row r="80" spans="1:24" s="297" customFormat="1" ht="40" customHeight="1" thickTop="1">
      <c r="A80" s="1224" t="s">
        <v>1064</v>
      </c>
      <c r="B80" s="319" t="s">
        <v>180</v>
      </c>
      <c r="C80" s="348"/>
      <c r="D80" s="319"/>
      <c r="E80" s="319"/>
      <c r="F80" s="340"/>
      <c r="G80" s="319" t="s">
        <v>180</v>
      </c>
      <c r="H80" s="348"/>
      <c r="I80" s="319"/>
      <c r="J80" s="319"/>
      <c r="K80" s="68"/>
      <c r="L80" s="68"/>
      <c r="M80" s="68"/>
      <c r="N80" s="68"/>
      <c r="O80" s="68"/>
      <c r="P80" s="68"/>
      <c r="Q80" s="68"/>
      <c r="R80" s="68"/>
      <c r="S80" s="68"/>
      <c r="T80" s="68"/>
      <c r="U80" s="68"/>
      <c r="V80" s="68"/>
      <c r="W80" s="68"/>
      <c r="X80" s="68"/>
    </row>
    <row r="81" spans="1:24" s="297" customFormat="1" ht="30" customHeight="1" thickBot="1">
      <c r="A81" s="1225"/>
      <c r="B81" s="321" t="s">
        <v>1056</v>
      </c>
      <c r="C81" s="320" t="s">
        <v>38</v>
      </c>
      <c r="D81" s="321" t="s">
        <v>185</v>
      </c>
      <c r="E81" s="321" t="s">
        <v>96</v>
      </c>
      <c r="F81" s="341"/>
      <c r="G81" s="321" t="s">
        <v>1056</v>
      </c>
      <c r="H81" s="320" t="s">
        <v>38</v>
      </c>
      <c r="I81" s="321" t="s">
        <v>185</v>
      </c>
      <c r="J81" s="321" t="s">
        <v>96</v>
      </c>
      <c r="K81" s="68"/>
      <c r="L81" s="68"/>
      <c r="M81" s="68"/>
      <c r="N81" s="68"/>
      <c r="O81" s="68"/>
      <c r="P81" s="68"/>
      <c r="Q81" s="68"/>
      <c r="R81" s="68"/>
      <c r="S81" s="68"/>
      <c r="T81" s="68"/>
      <c r="U81" s="68"/>
      <c r="V81" s="68"/>
      <c r="W81" s="68"/>
      <c r="X81" s="68"/>
    </row>
    <row r="82" spans="1:24" s="297" customFormat="1" ht="20.149999999999999" customHeight="1" thickTop="1" thickBot="1">
      <c r="A82" s="1225"/>
      <c r="B82" s="293"/>
      <c r="C82" s="329"/>
      <c r="D82" s="330"/>
      <c r="E82" s="331"/>
      <c r="F82" s="341"/>
      <c r="G82" s="293"/>
      <c r="H82" s="329"/>
      <c r="I82" s="289"/>
      <c r="J82" s="331"/>
      <c r="K82" s="68"/>
      <c r="L82" s="68"/>
      <c r="M82" s="68"/>
      <c r="N82" s="68"/>
      <c r="O82" s="68"/>
      <c r="P82" s="68"/>
      <c r="Q82" s="68"/>
      <c r="R82" s="68"/>
      <c r="S82" s="68"/>
      <c r="T82" s="68"/>
      <c r="U82" s="68"/>
      <c r="V82" s="68"/>
      <c r="W82" s="68"/>
      <c r="X82" s="68"/>
    </row>
    <row r="83" spans="1:24" s="297" customFormat="1" ht="20.149999999999999" customHeight="1" thickTop="1" thickBot="1">
      <c r="A83" s="1225"/>
      <c r="B83" s="288"/>
      <c r="C83" s="288"/>
      <c r="D83" s="289"/>
      <c r="E83" s="292"/>
      <c r="F83" s="341"/>
      <c r="G83" s="288"/>
      <c r="H83" s="288"/>
      <c r="I83" s="289"/>
      <c r="J83" s="292"/>
      <c r="K83" s="68"/>
      <c r="L83" s="68"/>
      <c r="M83" s="68"/>
      <c r="N83" s="68"/>
      <c r="O83" s="68"/>
      <c r="P83" s="68"/>
      <c r="Q83" s="68"/>
      <c r="R83" s="68"/>
      <c r="S83" s="68"/>
      <c r="T83" s="68"/>
      <c r="U83" s="68"/>
      <c r="V83" s="68"/>
      <c r="W83" s="68"/>
      <c r="X83" s="68"/>
    </row>
    <row r="84" spans="1:24" s="297" customFormat="1" ht="20.149999999999999" customHeight="1" thickTop="1" thickBot="1">
      <c r="A84" s="1225"/>
      <c r="B84" s="288"/>
      <c r="C84" s="288"/>
      <c r="D84" s="289"/>
      <c r="E84" s="292"/>
      <c r="F84" s="341"/>
      <c r="G84" s="288"/>
      <c r="H84" s="288"/>
      <c r="I84" s="289"/>
      <c r="J84" s="292"/>
      <c r="K84" s="68"/>
      <c r="L84" s="68"/>
      <c r="M84" s="68"/>
      <c r="N84" s="68"/>
      <c r="O84" s="68"/>
      <c r="P84" s="68"/>
      <c r="Q84" s="68"/>
      <c r="R84" s="68"/>
      <c r="S84" s="68"/>
      <c r="T84" s="68"/>
      <c r="U84" s="68"/>
      <c r="V84" s="68"/>
      <c r="W84" s="68"/>
      <c r="X84" s="68"/>
    </row>
    <row r="85" spans="1:24" s="297" customFormat="1" ht="20.149999999999999" customHeight="1" thickTop="1" thickBot="1">
      <c r="A85" s="1225"/>
      <c r="B85" s="288"/>
      <c r="C85" s="288"/>
      <c r="D85" s="289"/>
      <c r="E85" s="292"/>
      <c r="F85" s="341"/>
      <c r="G85" s="288"/>
      <c r="H85" s="288"/>
      <c r="I85" s="289"/>
      <c r="J85" s="292"/>
      <c r="K85" s="68"/>
      <c r="L85" s="68"/>
      <c r="M85" s="68"/>
      <c r="N85" s="68"/>
      <c r="O85" s="68"/>
      <c r="P85" s="68"/>
      <c r="Q85" s="68"/>
      <c r="R85" s="68"/>
      <c r="S85" s="68"/>
      <c r="T85" s="68"/>
      <c r="U85" s="68"/>
      <c r="V85" s="68"/>
      <c r="W85" s="68"/>
      <c r="X85" s="68"/>
    </row>
    <row r="86" spans="1:24" s="297" customFormat="1" ht="20.149999999999999" customHeight="1" thickTop="1" thickBot="1">
      <c r="A86" s="1225"/>
      <c r="B86" s="288"/>
      <c r="C86" s="288"/>
      <c r="D86" s="289"/>
      <c r="E86" s="292"/>
      <c r="F86" s="341"/>
      <c r="G86" s="288"/>
      <c r="H86" s="288"/>
      <c r="I86" s="289"/>
      <c r="J86" s="292"/>
      <c r="K86" s="68"/>
      <c r="L86" s="68"/>
      <c r="M86" s="68"/>
      <c r="N86" s="68"/>
      <c r="O86" s="68"/>
      <c r="P86" s="68"/>
      <c r="Q86" s="68"/>
      <c r="R86" s="68"/>
      <c r="S86" s="68"/>
      <c r="T86" s="68"/>
      <c r="U86" s="68"/>
      <c r="V86" s="68"/>
      <c r="W86" s="68"/>
      <c r="X86" s="68"/>
    </row>
    <row r="87" spans="1:24" s="297" customFormat="1" ht="20.149999999999999" customHeight="1" thickTop="1" thickBot="1">
      <c r="A87" s="1225"/>
      <c r="B87" s="288"/>
      <c r="C87" s="288"/>
      <c r="D87" s="289"/>
      <c r="E87" s="292"/>
      <c r="F87" s="341"/>
      <c r="G87" s="288"/>
      <c r="H87" s="288"/>
      <c r="I87" s="289"/>
      <c r="J87" s="292"/>
      <c r="K87" s="68"/>
      <c r="L87" s="68"/>
      <c r="M87" s="68"/>
      <c r="N87" s="68"/>
      <c r="O87" s="68"/>
      <c r="P87" s="68"/>
      <c r="Q87" s="68"/>
      <c r="R87" s="68"/>
      <c r="S87" s="68"/>
      <c r="T87" s="68"/>
      <c r="U87" s="68"/>
      <c r="V87" s="68"/>
      <c r="W87" s="68"/>
      <c r="X87" s="68"/>
    </row>
    <row r="88" spans="1:24" s="297" customFormat="1" ht="20.149999999999999" customHeight="1" thickTop="1" thickBot="1">
      <c r="A88" s="1225"/>
      <c r="B88" s="288"/>
      <c r="C88" s="288"/>
      <c r="D88" s="289"/>
      <c r="E88" s="292"/>
      <c r="F88" s="341"/>
      <c r="G88" s="288"/>
      <c r="H88" s="288"/>
      <c r="I88" s="289"/>
      <c r="J88" s="292"/>
      <c r="K88" s="68"/>
      <c r="L88" s="68"/>
      <c r="M88" s="68"/>
      <c r="N88" s="68"/>
      <c r="O88" s="68"/>
      <c r="P88" s="68"/>
      <c r="Q88" s="68"/>
      <c r="R88" s="68"/>
      <c r="S88" s="68"/>
      <c r="T88" s="68"/>
      <c r="U88" s="68"/>
      <c r="V88" s="68"/>
      <c r="W88" s="68"/>
      <c r="X88" s="68"/>
    </row>
    <row r="89" spans="1:24" s="297" customFormat="1" ht="20.149999999999999" customHeight="1" thickTop="1" thickBot="1">
      <c r="A89" s="1226"/>
      <c r="B89" s="288"/>
      <c r="C89" s="288"/>
      <c r="D89" s="289"/>
      <c r="E89" s="292"/>
      <c r="F89" s="342"/>
      <c r="G89" s="288"/>
      <c r="H89" s="288"/>
      <c r="I89" s="289"/>
      <c r="J89" s="292"/>
      <c r="K89" s="68"/>
      <c r="L89" s="68"/>
      <c r="M89" s="68"/>
      <c r="N89" s="68"/>
      <c r="O89" s="68"/>
      <c r="P89" s="68"/>
      <c r="Q89" s="68"/>
      <c r="R89" s="68"/>
      <c r="S89" s="68"/>
      <c r="T89" s="68"/>
      <c r="U89" s="68"/>
      <c r="V89" s="68"/>
      <c r="W89" s="68"/>
      <c r="X89" s="68"/>
    </row>
    <row r="90" spans="1:24" s="297" customFormat="1" ht="40" customHeight="1" thickTop="1">
      <c r="A90" s="1224" t="s">
        <v>1047</v>
      </c>
      <c r="B90" s="319" t="s">
        <v>180</v>
      </c>
      <c r="C90" s="319"/>
      <c r="D90" s="319"/>
      <c r="E90" s="319"/>
      <c r="F90" s="343"/>
      <c r="G90" s="319" t="s">
        <v>180</v>
      </c>
      <c r="H90" s="319"/>
      <c r="I90" s="319"/>
      <c r="J90" s="319"/>
      <c r="K90" s="68"/>
      <c r="L90" s="68"/>
      <c r="M90" s="68"/>
      <c r="N90" s="68"/>
      <c r="O90" s="68"/>
      <c r="P90" s="68"/>
      <c r="Q90" s="68"/>
      <c r="R90" s="68"/>
      <c r="S90" s="68"/>
      <c r="T90" s="68"/>
      <c r="U90" s="68"/>
      <c r="V90" s="68"/>
      <c r="W90" s="68"/>
      <c r="X90" s="68"/>
    </row>
    <row r="91" spans="1:24" s="297" customFormat="1" ht="30" customHeight="1" thickBot="1">
      <c r="A91" s="1225"/>
      <c r="B91" s="321" t="s">
        <v>328</v>
      </c>
      <c r="C91" s="321" t="s">
        <v>38</v>
      </c>
      <c r="D91" s="321" t="s">
        <v>185</v>
      </c>
      <c r="E91" s="321" t="s">
        <v>96</v>
      </c>
      <c r="F91" s="344"/>
      <c r="G91" s="321" t="s">
        <v>328</v>
      </c>
      <c r="H91" s="321" t="s">
        <v>38</v>
      </c>
      <c r="I91" s="321" t="s">
        <v>185</v>
      </c>
      <c r="J91" s="321" t="s">
        <v>96</v>
      </c>
      <c r="K91" s="68"/>
      <c r="L91" s="68"/>
      <c r="M91" s="68"/>
      <c r="N91" s="68"/>
      <c r="O91" s="68"/>
      <c r="P91" s="68"/>
      <c r="Q91" s="68"/>
      <c r="R91" s="68"/>
      <c r="S91" s="68"/>
      <c r="T91" s="68"/>
      <c r="U91" s="68"/>
      <c r="V91" s="68"/>
      <c r="W91" s="68"/>
      <c r="X91" s="68"/>
    </row>
    <row r="92" spans="1:24" s="297" customFormat="1" ht="20.149999999999999" customHeight="1" thickTop="1" thickBot="1">
      <c r="A92" s="1225"/>
      <c r="B92" s="293"/>
      <c r="C92" s="329"/>
      <c r="D92" s="330"/>
      <c r="E92" s="331"/>
      <c r="F92" s="344"/>
      <c r="G92" s="293"/>
      <c r="H92" s="329"/>
      <c r="I92" s="330"/>
      <c r="J92" s="331"/>
      <c r="K92" s="68"/>
      <c r="L92" s="68"/>
      <c r="M92" s="68"/>
      <c r="N92" s="68"/>
      <c r="O92" s="68"/>
      <c r="P92" s="68"/>
      <c r="Q92" s="68"/>
      <c r="R92" s="68"/>
      <c r="S92" s="68"/>
      <c r="T92" s="68"/>
      <c r="U92" s="68"/>
      <c r="V92" s="68"/>
      <c r="W92" s="68"/>
      <c r="X92" s="68"/>
    </row>
    <row r="93" spans="1:24" s="297" customFormat="1" ht="20.149999999999999" customHeight="1" thickTop="1" thickBot="1">
      <c r="A93" s="1225"/>
      <c r="B93" s="288"/>
      <c r="C93" s="288"/>
      <c r="D93" s="289"/>
      <c r="E93" s="292"/>
      <c r="F93" s="344"/>
      <c r="G93" s="288"/>
      <c r="H93" s="288"/>
      <c r="I93" s="289"/>
      <c r="J93" s="292"/>
      <c r="K93" s="68"/>
      <c r="L93" s="68"/>
      <c r="M93" s="68"/>
      <c r="N93" s="68"/>
      <c r="O93" s="68"/>
      <c r="P93" s="68"/>
      <c r="Q93" s="68"/>
      <c r="R93" s="68"/>
      <c r="S93" s="68"/>
      <c r="T93" s="68"/>
      <c r="U93" s="68"/>
      <c r="V93" s="68"/>
      <c r="W93" s="68"/>
      <c r="X93" s="68"/>
    </row>
    <row r="94" spans="1:24" s="297" customFormat="1" ht="20.149999999999999" customHeight="1" thickTop="1" thickBot="1">
      <c r="A94" s="1225"/>
      <c r="B94" s="288"/>
      <c r="C94" s="288"/>
      <c r="D94" s="289"/>
      <c r="E94" s="292"/>
      <c r="F94" s="344"/>
      <c r="G94" s="288"/>
      <c r="H94" s="288"/>
      <c r="I94" s="289"/>
      <c r="J94" s="292"/>
      <c r="K94" s="68"/>
      <c r="L94" s="68"/>
      <c r="M94" s="68"/>
      <c r="N94" s="68"/>
      <c r="O94" s="68"/>
      <c r="P94" s="68"/>
      <c r="Q94" s="68"/>
      <c r="R94" s="68"/>
      <c r="S94" s="68"/>
      <c r="T94" s="68"/>
      <c r="U94" s="68"/>
      <c r="V94" s="68"/>
      <c r="W94" s="68"/>
      <c r="X94" s="68"/>
    </row>
    <row r="95" spans="1:24" s="297" customFormat="1" ht="20.149999999999999" customHeight="1" thickTop="1" thickBot="1">
      <c r="A95" s="1225"/>
      <c r="B95" s="288"/>
      <c r="C95" s="288"/>
      <c r="D95" s="289"/>
      <c r="E95" s="292"/>
      <c r="F95" s="344"/>
      <c r="G95" s="288"/>
      <c r="H95" s="288"/>
      <c r="I95" s="289"/>
      <c r="J95" s="292"/>
      <c r="K95" s="68"/>
      <c r="L95" s="68"/>
      <c r="M95" s="68"/>
      <c r="N95" s="68"/>
      <c r="O95" s="68"/>
      <c r="P95" s="68"/>
      <c r="Q95" s="68"/>
      <c r="R95" s="68"/>
      <c r="S95" s="68"/>
      <c r="T95" s="68"/>
      <c r="U95" s="68"/>
      <c r="V95" s="68"/>
      <c r="W95" s="68"/>
      <c r="X95" s="68"/>
    </row>
    <row r="96" spans="1:24" s="297" customFormat="1" ht="20.149999999999999" customHeight="1" thickTop="1" thickBot="1">
      <c r="A96" s="1225"/>
      <c r="B96" s="288"/>
      <c r="C96" s="288"/>
      <c r="D96" s="289"/>
      <c r="E96" s="292"/>
      <c r="F96" s="344"/>
      <c r="G96" s="288"/>
      <c r="H96" s="288"/>
      <c r="I96" s="289"/>
      <c r="J96" s="292"/>
      <c r="K96" s="68"/>
      <c r="L96" s="68"/>
      <c r="M96" s="68"/>
      <c r="N96" s="68"/>
      <c r="O96" s="68"/>
      <c r="P96" s="68"/>
      <c r="Q96" s="68"/>
      <c r="R96" s="68"/>
      <c r="S96" s="68"/>
      <c r="T96" s="68"/>
      <c r="U96" s="68"/>
      <c r="V96" s="68"/>
      <c r="W96" s="68"/>
      <c r="X96" s="68"/>
    </row>
    <row r="97" spans="1:24" s="297" customFormat="1" ht="20.149999999999999" customHeight="1" thickTop="1" thickBot="1">
      <c r="A97" s="1225"/>
      <c r="B97" s="288"/>
      <c r="C97" s="288"/>
      <c r="D97" s="289"/>
      <c r="E97" s="292"/>
      <c r="F97" s="344"/>
      <c r="G97" s="288"/>
      <c r="H97" s="288"/>
      <c r="I97" s="289"/>
      <c r="J97" s="292"/>
      <c r="K97" s="68"/>
      <c r="L97" s="68"/>
      <c r="M97" s="68"/>
      <c r="N97" s="68"/>
      <c r="O97" s="68"/>
      <c r="P97" s="68"/>
      <c r="Q97" s="68"/>
      <c r="R97" s="68"/>
      <c r="S97" s="68"/>
      <c r="T97" s="68"/>
      <c r="U97" s="68"/>
      <c r="V97" s="68"/>
      <c r="W97" s="68"/>
      <c r="X97" s="68"/>
    </row>
    <row r="98" spans="1:24" s="297" customFormat="1" ht="20.149999999999999" customHeight="1" thickTop="1" thickBot="1">
      <c r="A98" s="1225"/>
      <c r="B98" s="288"/>
      <c r="C98" s="288"/>
      <c r="D98" s="289"/>
      <c r="E98" s="292"/>
      <c r="F98" s="344"/>
      <c r="G98" s="288"/>
      <c r="H98" s="288"/>
      <c r="I98" s="289"/>
      <c r="J98" s="292"/>
      <c r="K98" s="68"/>
      <c r="L98" s="68"/>
      <c r="M98" s="68"/>
      <c r="N98" s="68"/>
      <c r="O98" s="68"/>
      <c r="P98" s="68"/>
      <c r="Q98" s="68"/>
      <c r="R98" s="68"/>
      <c r="S98" s="68"/>
      <c r="T98" s="68"/>
      <c r="U98" s="68"/>
      <c r="V98" s="68"/>
      <c r="W98" s="68"/>
      <c r="X98" s="68"/>
    </row>
    <row r="99" spans="1:24" s="297" customFormat="1" ht="20.149999999999999" customHeight="1" thickTop="1" thickBot="1">
      <c r="A99" s="1226"/>
      <c r="B99" s="288"/>
      <c r="C99" s="288"/>
      <c r="D99" s="289"/>
      <c r="E99" s="292"/>
      <c r="F99" s="345"/>
      <c r="G99" s="288"/>
      <c r="H99" s="288"/>
      <c r="I99" s="289"/>
      <c r="J99" s="292"/>
      <c r="K99" s="68"/>
      <c r="L99" s="68"/>
      <c r="M99" s="68"/>
      <c r="N99" s="68"/>
      <c r="O99" s="68"/>
      <c r="P99" s="68"/>
      <c r="Q99" s="68"/>
      <c r="R99" s="68"/>
      <c r="S99" s="68"/>
      <c r="T99" s="68"/>
      <c r="U99" s="68"/>
      <c r="V99" s="68"/>
      <c r="W99" s="68"/>
      <c r="X99" s="68"/>
    </row>
    <row r="100" spans="1:24" s="297" customFormat="1" ht="40" customHeight="1" thickTop="1" thickBot="1">
      <c r="A100" s="1224" t="s">
        <v>1048</v>
      </c>
      <c r="B100" s="319" t="s">
        <v>180</v>
      </c>
      <c r="C100" s="319" t="s">
        <v>38</v>
      </c>
      <c r="D100" s="319" t="s">
        <v>329</v>
      </c>
      <c r="E100" s="319" t="s">
        <v>186</v>
      </c>
      <c r="F100" s="1242"/>
      <c r="G100" s="1243"/>
      <c r="H100" s="1243"/>
      <c r="I100" s="1243"/>
      <c r="J100" s="1244"/>
      <c r="K100" s="68"/>
      <c r="L100" s="68"/>
      <c r="M100" s="68"/>
      <c r="N100" s="68"/>
      <c r="O100" s="68"/>
      <c r="P100" s="68"/>
      <c r="Q100" s="68"/>
      <c r="R100" s="68"/>
      <c r="S100" s="68"/>
      <c r="T100" s="68"/>
      <c r="U100" s="68"/>
      <c r="V100" s="68"/>
      <c r="W100" s="68"/>
      <c r="X100" s="68"/>
    </row>
    <row r="101" spans="1:24" s="297" customFormat="1" ht="20.149999999999999" customHeight="1" thickTop="1" thickBot="1">
      <c r="A101" s="1225"/>
      <c r="B101" s="1240">
        <v>30</v>
      </c>
      <c r="C101" s="322"/>
      <c r="D101" s="332"/>
      <c r="E101" s="324"/>
      <c r="F101" s="1245"/>
      <c r="G101" s="1246"/>
      <c r="H101" s="1246"/>
      <c r="I101" s="1246"/>
      <c r="J101" s="1247"/>
      <c r="K101" s="68"/>
      <c r="L101" s="68"/>
      <c r="M101" s="68"/>
      <c r="N101" s="68"/>
      <c r="O101" s="68"/>
      <c r="P101" s="68"/>
      <c r="Q101" s="68"/>
      <c r="R101" s="68"/>
      <c r="S101" s="68"/>
      <c r="T101" s="68"/>
      <c r="U101" s="68"/>
      <c r="V101" s="68"/>
      <c r="W101" s="68"/>
      <c r="X101" s="68"/>
    </row>
    <row r="102" spans="1:24" s="297" customFormat="1" ht="20.149999999999999" customHeight="1" thickTop="1" thickBot="1">
      <c r="A102" s="1225"/>
      <c r="B102" s="1240"/>
      <c r="C102" s="322"/>
      <c r="D102" s="332"/>
      <c r="E102" s="333"/>
      <c r="F102" s="1245"/>
      <c r="G102" s="1246"/>
      <c r="H102" s="1246"/>
      <c r="I102" s="1246"/>
      <c r="J102" s="1247"/>
      <c r="K102" s="68"/>
      <c r="L102" s="68"/>
      <c r="M102" s="68"/>
      <c r="N102" s="68"/>
      <c r="O102" s="68"/>
      <c r="P102" s="68"/>
      <c r="Q102" s="68"/>
      <c r="R102" s="68"/>
      <c r="S102" s="68"/>
      <c r="T102" s="68"/>
      <c r="U102" s="68"/>
      <c r="V102" s="68"/>
      <c r="W102" s="68"/>
      <c r="X102" s="68"/>
    </row>
    <row r="103" spans="1:24" s="297" customFormat="1" ht="20.149999999999999" customHeight="1" thickTop="1" thickBot="1">
      <c r="A103" s="1225"/>
      <c r="B103" s="1240"/>
      <c r="C103" s="322"/>
      <c r="D103" s="328"/>
      <c r="E103" s="333"/>
      <c r="F103" s="1245"/>
      <c r="G103" s="1246"/>
      <c r="H103" s="1246"/>
      <c r="I103" s="1246"/>
      <c r="J103" s="1247"/>
      <c r="K103" s="68"/>
      <c r="L103" s="68"/>
      <c r="M103" s="68"/>
      <c r="N103" s="68"/>
      <c r="O103" s="68"/>
      <c r="P103" s="68"/>
      <c r="Q103" s="68"/>
      <c r="R103" s="68"/>
      <c r="S103" s="68"/>
      <c r="T103" s="68"/>
      <c r="U103" s="68"/>
      <c r="V103" s="68"/>
      <c r="W103" s="68"/>
      <c r="X103" s="68"/>
    </row>
    <row r="104" spans="1:24" s="297" customFormat="1" ht="20.149999999999999" customHeight="1" thickTop="1" thickBot="1">
      <c r="A104" s="1225"/>
      <c r="B104" s="1240"/>
      <c r="C104" s="322"/>
      <c r="D104" s="328"/>
      <c r="E104" s="333"/>
      <c r="F104" s="1245"/>
      <c r="G104" s="1246"/>
      <c r="H104" s="1246"/>
      <c r="I104" s="1246"/>
      <c r="J104" s="1247"/>
      <c r="K104" s="68"/>
      <c r="L104" s="68"/>
      <c r="M104" s="68"/>
      <c r="N104" s="68"/>
      <c r="O104" s="68"/>
      <c r="P104" s="68"/>
      <c r="Q104" s="68"/>
      <c r="R104" s="68"/>
      <c r="S104" s="68"/>
      <c r="T104" s="68"/>
      <c r="U104" s="68"/>
      <c r="V104" s="68"/>
      <c r="W104" s="68"/>
      <c r="X104" s="68"/>
    </row>
    <row r="105" spans="1:24" s="297" customFormat="1" ht="20.149999999999999" customHeight="1" thickTop="1" thickBot="1">
      <c r="A105" s="1225"/>
      <c r="B105" s="1240"/>
      <c r="C105" s="322"/>
      <c r="D105" s="328"/>
      <c r="E105" s="333"/>
      <c r="F105" s="1245"/>
      <c r="G105" s="1246"/>
      <c r="H105" s="1246"/>
      <c r="I105" s="1246"/>
      <c r="J105" s="1247"/>
      <c r="K105" s="68"/>
      <c r="L105" s="68"/>
      <c r="M105" s="68"/>
      <c r="N105" s="68"/>
      <c r="O105" s="68"/>
      <c r="P105" s="68"/>
      <c r="Q105" s="68"/>
      <c r="R105" s="68"/>
      <c r="S105" s="68"/>
      <c r="T105" s="68"/>
      <c r="U105" s="68"/>
      <c r="V105" s="68"/>
      <c r="W105" s="68"/>
      <c r="X105" s="68"/>
    </row>
    <row r="106" spans="1:24" s="297" customFormat="1" ht="20.149999999999999" customHeight="1" thickTop="1" thickBot="1">
      <c r="A106" s="1225"/>
      <c r="B106" s="1240"/>
      <c r="C106" s="322"/>
      <c r="D106" s="328"/>
      <c r="E106" s="333"/>
      <c r="F106" s="1245"/>
      <c r="G106" s="1246"/>
      <c r="H106" s="1246"/>
      <c r="I106" s="1246"/>
      <c r="J106" s="1247"/>
      <c r="K106" s="68"/>
      <c r="L106" s="68"/>
      <c r="M106" s="68"/>
      <c r="N106" s="68"/>
      <c r="O106" s="68"/>
      <c r="P106" s="68"/>
      <c r="Q106" s="68"/>
      <c r="R106" s="68"/>
      <c r="S106" s="68"/>
      <c r="T106" s="68"/>
      <c r="U106" s="68"/>
      <c r="V106" s="68"/>
      <c r="W106" s="68"/>
      <c r="X106" s="68"/>
    </row>
    <row r="107" spans="1:24" s="297" customFormat="1" ht="20.149999999999999" customHeight="1" thickTop="1" thickBot="1">
      <c r="A107" s="1225"/>
      <c r="B107" s="1240"/>
      <c r="C107" s="322"/>
      <c r="D107" s="334"/>
      <c r="E107" s="333"/>
      <c r="F107" s="1245"/>
      <c r="G107" s="1246"/>
      <c r="H107" s="1246"/>
      <c r="I107" s="1246"/>
      <c r="J107" s="1247"/>
      <c r="K107" s="68"/>
      <c r="L107" s="68"/>
      <c r="M107" s="68"/>
      <c r="N107" s="68"/>
      <c r="O107" s="68"/>
      <c r="P107" s="68"/>
      <c r="Q107" s="68"/>
      <c r="R107" s="68"/>
      <c r="S107" s="68"/>
      <c r="T107" s="68"/>
      <c r="U107" s="68"/>
      <c r="V107" s="68"/>
      <c r="W107" s="68"/>
      <c r="X107" s="68"/>
    </row>
    <row r="108" spans="1:24" s="297" customFormat="1" ht="20.149999999999999" customHeight="1" thickTop="1" thickBot="1">
      <c r="A108" s="1226"/>
      <c r="B108" s="1241"/>
      <c r="C108" s="322"/>
      <c r="D108" s="334"/>
      <c r="E108" s="333"/>
      <c r="F108" s="1248"/>
      <c r="G108" s="1249"/>
      <c r="H108" s="1249"/>
      <c r="I108" s="1249"/>
      <c r="J108" s="1250"/>
      <c r="K108" s="68"/>
      <c r="L108" s="68"/>
      <c r="M108" s="68"/>
      <c r="N108" s="68"/>
      <c r="O108" s="68"/>
      <c r="P108" s="68"/>
      <c r="Q108" s="68"/>
      <c r="R108" s="68"/>
      <c r="S108" s="68"/>
      <c r="T108" s="68"/>
      <c r="U108" s="68"/>
      <c r="V108" s="68"/>
      <c r="W108" s="68"/>
      <c r="X108" s="68"/>
    </row>
    <row r="109" spans="1:24" s="297" customFormat="1" ht="40" customHeight="1" thickTop="1">
      <c r="A109" s="1224" t="s">
        <v>1062</v>
      </c>
      <c r="B109" s="319" t="s">
        <v>180</v>
      </c>
      <c r="C109" s="319"/>
      <c r="D109" s="319"/>
      <c r="E109" s="319"/>
      <c r="F109" s="1242"/>
      <c r="G109" s="1243"/>
      <c r="H109" s="1243"/>
      <c r="I109" s="1243"/>
      <c r="J109" s="1244"/>
      <c r="K109" s="68"/>
      <c r="L109" s="68"/>
      <c r="M109" s="68"/>
      <c r="N109" s="68"/>
      <c r="O109" s="68"/>
      <c r="P109" s="68"/>
      <c r="Q109" s="68"/>
      <c r="R109" s="68"/>
      <c r="S109" s="68"/>
      <c r="T109" s="68"/>
      <c r="U109" s="68"/>
      <c r="V109" s="68"/>
      <c r="W109" s="68"/>
      <c r="X109" s="68"/>
    </row>
    <row r="110" spans="1:24" s="297" customFormat="1" ht="20.149999999999999" customHeight="1" thickBot="1">
      <c r="A110" s="1225"/>
      <c r="B110" s="321" t="s">
        <v>1058</v>
      </c>
      <c r="C110" s="321" t="s">
        <v>38</v>
      </c>
      <c r="D110" s="321" t="s">
        <v>1057</v>
      </c>
      <c r="E110" s="321" t="s">
        <v>96</v>
      </c>
      <c r="F110" s="1245"/>
      <c r="G110" s="1246"/>
      <c r="H110" s="1246"/>
      <c r="I110" s="1246"/>
      <c r="J110" s="1247"/>
      <c r="K110" s="68"/>
      <c r="L110" s="68"/>
      <c r="M110" s="68"/>
      <c r="N110" s="68"/>
      <c r="O110" s="68"/>
      <c r="P110" s="68"/>
      <c r="Q110" s="68"/>
      <c r="R110" s="68"/>
      <c r="S110" s="68"/>
      <c r="T110" s="68"/>
      <c r="U110" s="68"/>
      <c r="V110" s="68"/>
      <c r="W110" s="68"/>
      <c r="X110" s="68"/>
    </row>
    <row r="111" spans="1:24" s="297" customFormat="1" ht="20.149999999999999" customHeight="1" thickTop="1" thickBot="1">
      <c r="A111" s="1225"/>
      <c r="B111" s="306"/>
      <c r="C111" s="322"/>
      <c r="D111" s="335"/>
      <c r="E111" s="307"/>
      <c r="F111" s="1245"/>
      <c r="G111" s="1246"/>
      <c r="H111" s="1246"/>
      <c r="I111" s="1246"/>
      <c r="J111" s="1247"/>
      <c r="K111" s="68"/>
      <c r="L111" s="68"/>
      <c r="M111" s="68"/>
      <c r="N111" s="68"/>
      <c r="O111" s="68"/>
      <c r="P111" s="68"/>
      <c r="Q111" s="68"/>
      <c r="R111" s="68"/>
      <c r="S111" s="68"/>
      <c r="T111" s="68"/>
      <c r="U111" s="68"/>
      <c r="V111" s="68"/>
      <c r="W111" s="68"/>
      <c r="X111" s="68"/>
    </row>
    <row r="112" spans="1:24" s="297" customFormat="1" ht="20.149999999999999" customHeight="1" thickTop="1" thickBot="1">
      <c r="A112" s="1225"/>
      <c r="B112" s="306"/>
      <c r="C112" s="322"/>
      <c r="D112" s="335"/>
      <c r="E112" s="307"/>
      <c r="F112" s="1245"/>
      <c r="G112" s="1246"/>
      <c r="H112" s="1246"/>
      <c r="I112" s="1246"/>
      <c r="J112" s="1247"/>
      <c r="K112" s="68"/>
      <c r="L112" s="68"/>
      <c r="M112" s="68"/>
      <c r="N112" s="68"/>
      <c r="O112" s="68"/>
      <c r="P112" s="68"/>
      <c r="Q112" s="68"/>
      <c r="R112" s="68"/>
      <c r="S112" s="68"/>
      <c r="T112" s="68"/>
      <c r="U112" s="68"/>
      <c r="V112" s="68"/>
      <c r="W112" s="68"/>
      <c r="X112" s="68"/>
    </row>
    <row r="113" spans="1:24" s="297" customFormat="1" ht="20.149999999999999" customHeight="1" thickTop="1" thickBot="1">
      <c r="A113" s="1225"/>
      <c r="B113" s="306"/>
      <c r="C113" s="322"/>
      <c r="D113" s="335"/>
      <c r="E113" s="307"/>
      <c r="F113" s="1245"/>
      <c r="G113" s="1246"/>
      <c r="H113" s="1246"/>
      <c r="I113" s="1246"/>
      <c r="J113" s="1247"/>
      <c r="K113" s="68"/>
      <c r="L113" s="68"/>
      <c r="M113" s="68"/>
      <c r="N113" s="68"/>
      <c r="O113" s="68"/>
      <c r="P113" s="68"/>
      <c r="Q113" s="68"/>
      <c r="R113" s="68"/>
      <c r="S113" s="68"/>
      <c r="T113" s="68"/>
      <c r="U113" s="68"/>
      <c r="V113" s="68"/>
      <c r="W113" s="68"/>
      <c r="X113" s="68"/>
    </row>
    <row r="114" spans="1:24" s="297" customFormat="1" ht="20.149999999999999" customHeight="1" thickTop="1" thickBot="1">
      <c r="A114" s="1225"/>
      <c r="B114" s="306"/>
      <c r="C114" s="322"/>
      <c r="D114" s="335"/>
      <c r="E114" s="307"/>
      <c r="F114" s="1245"/>
      <c r="G114" s="1246"/>
      <c r="H114" s="1246"/>
      <c r="I114" s="1246"/>
      <c r="J114" s="1247"/>
      <c r="K114" s="68"/>
      <c r="L114" s="68"/>
      <c r="M114" s="68"/>
      <c r="N114" s="68"/>
      <c r="O114" s="68"/>
      <c r="P114" s="68"/>
      <c r="Q114" s="68"/>
      <c r="R114" s="68"/>
      <c r="S114" s="68"/>
      <c r="T114" s="68"/>
      <c r="U114" s="68"/>
      <c r="V114" s="68"/>
      <c r="W114" s="68"/>
      <c r="X114" s="68"/>
    </row>
    <row r="115" spans="1:24" s="297" customFormat="1" ht="20.149999999999999" customHeight="1" thickTop="1" thickBot="1">
      <c r="A115" s="1225"/>
      <c r="B115" s="306"/>
      <c r="C115" s="322"/>
      <c r="D115" s="335"/>
      <c r="E115" s="307"/>
      <c r="F115" s="1245"/>
      <c r="G115" s="1246"/>
      <c r="H115" s="1246"/>
      <c r="I115" s="1246"/>
      <c r="J115" s="1247"/>
      <c r="K115" s="68"/>
      <c r="L115" s="68"/>
      <c r="M115" s="68"/>
      <c r="N115" s="68"/>
      <c r="O115" s="68"/>
      <c r="P115" s="68"/>
      <c r="Q115" s="68"/>
      <c r="R115" s="68"/>
      <c r="S115" s="68"/>
      <c r="T115" s="68"/>
      <c r="U115" s="68"/>
      <c r="V115" s="68"/>
      <c r="W115" s="68"/>
      <c r="X115" s="68"/>
    </row>
    <row r="116" spans="1:24" s="297" customFormat="1" ht="20.149999999999999" customHeight="1" thickTop="1" thickBot="1">
      <c r="A116" s="1225"/>
      <c r="B116" s="306"/>
      <c r="C116" s="322"/>
      <c r="D116" s="335"/>
      <c r="E116" s="307"/>
      <c r="F116" s="1245"/>
      <c r="G116" s="1246"/>
      <c r="H116" s="1246"/>
      <c r="I116" s="1246"/>
      <c r="J116" s="1247"/>
      <c r="K116" s="68"/>
      <c r="L116" s="68"/>
      <c r="M116" s="68"/>
      <c r="N116" s="68"/>
      <c r="O116" s="68"/>
      <c r="P116" s="68"/>
      <c r="Q116" s="68"/>
      <c r="R116" s="68"/>
      <c r="S116" s="68"/>
      <c r="T116" s="68"/>
      <c r="U116" s="68"/>
      <c r="V116" s="68"/>
      <c r="W116" s="68"/>
      <c r="X116" s="68"/>
    </row>
    <row r="117" spans="1:24" s="297" customFormat="1" ht="20.149999999999999" customHeight="1" thickTop="1" thickBot="1">
      <c r="A117" s="1225"/>
      <c r="B117" s="306"/>
      <c r="C117" s="322"/>
      <c r="D117" s="335"/>
      <c r="E117" s="307"/>
      <c r="F117" s="1245"/>
      <c r="G117" s="1246"/>
      <c r="H117" s="1246"/>
      <c r="I117" s="1246"/>
      <c r="J117" s="1247"/>
      <c r="K117" s="68"/>
      <c r="L117" s="68"/>
      <c r="M117" s="68"/>
      <c r="N117" s="68"/>
      <c r="O117" s="68"/>
      <c r="P117" s="68"/>
      <c r="Q117" s="68"/>
      <c r="R117" s="68"/>
      <c r="S117" s="68"/>
      <c r="T117" s="68"/>
      <c r="U117" s="68"/>
      <c r="V117" s="68"/>
      <c r="W117" s="68"/>
      <c r="X117" s="68"/>
    </row>
    <row r="118" spans="1:24" s="297" customFormat="1" ht="20.149999999999999" customHeight="1" thickTop="1" thickBot="1">
      <c r="A118" s="1226"/>
      <c r="B118" s="306"/>
      <c r="C118" s="322"/>
      <c r="D118" s="335"/>
      <c r="E118" s="307"/>
      <c r="F118" s="1248"/>
      <c r="G118" s="1249"/>
      <c r="H118" s="1249"/>
      <c r="I118" s="1249"/>
      <c r="J118" s="1250"/>
      <c r="K118" s="68"/>
      <c r="L118" s="68"/>
      <c r="M118" s="68"/>
      <c r="N118" s="68"/>
      <c r="O118" s="68"/>
      <c r="P118" s="68"/>
      <c r="Q118" s="68"/>
      <c r="R118" s="68"/>
      <c r="S118" s="68"/>
      <c r="T118" s="68"/>
      <c r="U118" s="68"/>
      <c r="V118" s="68"/>
      <c r="W118" s="68"/>
      <c r="X118" s="68"/>
    </row>
    <row r="119" spans="1:24" s="297" customFormat="1" ht="40" customHeight="1" thickTop="1" thickBot="1">
      <c r="A119" s="1224" t="s">
        <v>1049</v>
      </c>
      <c r="B119" s="319" t="s">
        <v>180</v>
      </c>
      <c r="C119" s="319" t="s">
        <v>38</v>
      </c>
      <c r="D119" s="319" t="s">
        <v>1057</v>
      </c>
      <c r="E119" s="309" t="s">
        <v>96</v>
      </c>
      <c r="F119" s="1242"/>
      <c r="G119" s="1243"/>
      <c r="H119" s="1243"/>
      <c r="I119" s="1243"/>
      <c r="J119" s="1244"/>
      <c r="K119" s="68"/>
      <c r="L119" s="68"/>
      <c r="M119" s="68"/>
      <c r="N119" s="68"/>
      <c r="O119" s="68"/>
      <c r="P119" s="68"/>
      <c r="Q119" s="68"/>
      <c r="R119" s="68"/>
      <c r="S119" s="68"/>
      <c r="T119" s="68"/>
      <c r="U119" s="68"/>
      <c r="V119" s="68"/>
      <c r="W119" s="68"/>
      <c r="X119" s="68"/>
    </row>
    <row r="120" spans="1:24" s="297" customFormat="1" ht="20.149999999999999" customHeight="1" thickTop="1" thickBot="1">
      <c r="A120" s="1225"/>
      <c r="B120" s="1239">
        <v>33</v>
      </c>
      <c r="C120" s="322"/>
      <c r="D120" s="335"/>
      <c r="E120" s="307"/>
      <c r="F120" s="1245"/>
      <c r="G120" s="1246"/>
      <c r="H120" s="1246"/>
      <c r="I120" s="1246"/>
      <c r="J120" s="1247"/>
      <c r="K120" s="68"/>
      <c r="L120" s="68"/>
      <c r="M120" s="68"/>
      <c r="N120" s="68"/>
      <c r="O120" s="68"/>
      <c r="P120" s="68"/>
      <c r="Q120" s="68"/>
      <c r="R120" s="68"/>
      <c r="S120" s="68"/>
      <c r="T120" s="68"/>
      <c r="U120" s="68"/>
      <c r="V120" s="68"/>
      <c r="W120" s="68"/>
      <c r="X120" s="68"/>
    </row>
    <row r="121" spans="1:24" s="297" customFormat="1" ht="20.149999999999999" customHeight="1" thickTop="1" thickBot="1">
      <c r="A121" s="1225"/>
      <c r="B121" s="1240"/>
      <c r="C121" s="322"/>
      <c r="D121" s="335"/>
      <c r="E121" s="307"/>
      <c r="F121" s="1245"/>
      <c r="G121" s="1246"/>
      <c r="H121" s="1246"/>
      <c r="I121" s="1246"/>
      <c r="J121" s="1247"/>
      <c r="K121" s="68"/>
      <c r="L121" s="68"/>
      <c r="M121" s="68"/>
      <c r="N121" s="68"/>
      <c r="O121" s="68"/>
      <c r="P121" s="68"/>
      <c r="Q121" s="68"/>
      <c r="R121" s="68"/>
      <c r="S121" s="68"/>
      <c r="T121" s="68"/>
      <c r="U121" s="68"/>
      <c r="V121" s="68"/>
      <c r="W121" s="68"/>
      <c r="X121" s="68"/>
    </row>
    <row r="122" spans="1:24" s="297" customFormat="1" ht="20.149999999999999" customHeight="1" thickTop="1" thickBot="1">
      <c r="A122" s="1225"/>
      <c r="B122" s="1240"/>
      <c r="C122" s="322"/>
      <c r="D122" s="335"/>
      <c r="E122" s="307"/>
      <c r="F122" s="1245"/>
      <c r="G122" s="1246"/>
      <c r="H122" s="1246"/>
      <c r="I122" s="1246"/>
      <c r="J122" s="1247"/>
      <c r="K122" s="68"/>
      <c r="L122" s="68"/>
      <c r="M122" s="68"/>
      <c r="N122" s="68"/>
      <c r="O122" s="68"/>
      <c r="P122" s="68"/>
      <c r="Q122" s="68"/>
      <c r="R122" s="68"/>
      <c r="S122" s="68"/>
      <c r="T122" s="68"/>
      <c r="U122" s="68"/>
      <c r="V122" s="68"/>
      <c r="W122" s="68"/>
      <c r="X122" s="68"/>
    </row>
    <row r="123" spans="1:24" s="297" customFormat="1" ht="20.149999999999999" customHeight="1" thickTop="1" thickBot="1">
      <c r="A123" s="1225"/>
      <c r="B123" s="1240"/>
      <c r="C123" s="322"/>
      <c r="D123" s="335"/>
      <c r="E123" s="307"/>
      <c r="F123" s="1245"/>
      <c r="G123" s="1246"/>
      <c r="H123" s="1246"/>
      <c r="I123" s="1246"/>
      <c r="J123" s="1247"/>
      <c r="K123" s="68"/>
      <c r="L123" s="68"/>
      <c r="M123" s="68"/>
      <c r="N123" s="68"/>
      <c r="O123" s="68"/>
      <c r="P123" s="68"/>
      <c r="Q123" s="68"/>
      <c r="R123" s="68"/>
      <c r="S123" s="68"/>
      <c r="T123" s="68"/>
      <c r="U123" s="68"/>
      <c r="V123" s="68"/>
      <c r="W123" s="68"/>
      <c r="X123" s="68"/>
    </row>
    <row r="124" spans="1:24" s="297" customFormat="1" ht="20.149999999999999" customHeight="1" thickTop="1" thickBot="1">
      <c r="A124" s="1225"/>
      <c r="B124" s="1240"/>
      <c r="C124" s="322"/>
      <c r="D124" s="335"/>
      <c r="E124" s="307"/>
      <c r="F124" s="1245"/>
      <c r="G124" s="1246"/>
      <c r="H124" s="1246"/>
      <c r="I124" s="1246"/>
      <c r="J124" s="1247"/>
      <c r="K124" s="68"/>
      <c r="L124" s="68"/>
      <c r="M124" s="68"/>
      <c r="N124" s="68"/>
      <c r="O124" s="68"/>
      <c r="P124" s="68"/>
      <c r="Q124" s="68"/>
      <c r="R124" s="68"/>
      <c r="S124" s="68"/>
      <c r="T124" s="68"/>
      <c r="U124" s="68"/>
      <c r="V124" s="68"/>
      <c r="W124" s="68"/>
      <c r="X124" s="68"/>
    </row>
    <row r="125" spans="1:24" s="297" customFormat="1" ht="20.149999999999999" customHeight="1" thickTop="1" thickBot="1">
      <c r="A125" s="1225"/>
      <c r="B125" s="1240"/>
      <c r="C125" s="322"/>
      <c r="D125" s="335"/>
      <c r="E125" s="307"/>
      <c r="F125" s="1245"/>
      <c r="G125" s="1246"/>
      <c r="H125" s="1246"/>
      <c r="I125" s="1246"/>
      <c r="J125" s="1247"/>
      <c r="K125" s="68"/>
      <c r="L125" s="68"/>
      <c r="M125" s="68"/>
      <c r="N125" s="68"/>
      <c r="O125" s="68"/>
      <c r="P125" s="68"/>
      <c r="Q125" s="68"/>
      <c r="R125" s="68"/>
      <c r="S125" s="68"/>
      <c r="T125" s="68"/>
      <c r="U125" s="68"/>
      <c r="V125" s="68"/>
      <c r="W125" s="68"/>
      <c r="X125" s="68"/>
    </row>
    <row r="126" spans="1:24" s="297" customFormat="1" ht="20.149999999999999" customHeight="1" thickTop="1" thickBot="1">
      <c r="A126" s="1225"/>
      <c r="B126" s="1240"/>
      <c r="C126" s="322"/>
      <c r="D126" s="335"/>
      <c r="E126" s="307"/>
      <c r="F126" s="1245"/>
      <c r="G126" s="1246"/>
      <c r="H126" s="1246"/>
      <c r="I126" s="1246"/>
      <c r="J126" s="1247"/>
      <c r="K126" s="68"/>
      <c r="L126" s="68"/>
      <c r="M126" s="68"/>
      <c r="N126" s="68"/>
      <c r="O126" s="68"/>
      <c r="P126" s="68"/>
      <c r="Q126" s="68"/>
      <c r="R126" s="68"/>
      <c r="S126" s="68"/>
      <c r="T126" s="68"/>
      <c r="U126" s="68"/>
      <c r="V126" s="68"/>
      <c r="W126" s="68"/>
      <c r="X126" s="68"/>
    </row>
    <row r="127" spans="1:24" s="297" customFormat="1" ht="20.149999999999999" customHeight="1" thickTop="1" thickBot="1">
      <c r="A127" s="1226"/>
      <c r="B127" s="1241"/>
      <c r="C127" s="322"/>
      <c r="D127" s="335"/>
      <c r="E127" s="307"/>
      <c r="F127" s="1248"/>
      <c r="G127" s="1249"/>
      <c r="H127" s="1249"/>
      <c r="I127" s="1249"/>
      <c r="J127" s="1250"/>
      <c r="K127" s="68"/>
      <c r="L127" s="68"/>
      <c r="M127" s="68"/>
      <c r="N127" s="68"/>
      <c r="O127" s="68"/>
      <c r="P127" s="68"/>
      <c r="Q127" s="68"/>
      <c r="R127" s="68"/>
      <c r="S127" s="68"/>
      <c r="T127" s="68"/>
      <c r="U127" s="68"/>
      <c r="V127" s="68"/>
      <c r="W127" s="68"/>
      <c r="X127" s="68"/>
    </row>
    <row r="128" spans="1:24" s="297" customFormat="1" ht="40" customHeight="1" thickTop="1">
      <c r="A128" s="1224" t="s">
        <v>1061</v>
      </c>
      <c r="B128" s="319" t="s">
        <v>180</v>
      </c>
      <c r="C128" s="319"/>
      <c r="D128" s="319"/>
      <c r="E128" s="319"/>
      <c r="F128" s="1242"/>
      <c r="G128" s="1243"/>
      <c r="H128" s="1243"/>
      <c r="I128" s="1243"/>
      <c r="J128" s="1244"/>
      <c r="K128" s="68"/>
      <c r="L128" s="68"/>
      <c r="M128" s="68"/>
      <c r="N128" s="68"/>
      <c r="O128" s="68"/>
      <c r="P128" s="68"/>
      <c r="Q128" s="68"/>
      <c r="R128" s="68"/>
      <c r="S128" s="68"/>
      <c r="T128" s="68"/>
      <c r="U128" s="68"/>
      <c r="V128" s="68"/>
      <c r="W128" s="68"/>
      <c r="X128" s="68"/>
    </row>
    <row r="129" spans="1:24" s="297" customFormat="1" ht="30" customHeight="1" thickBot="1">
      <c r="A129" s="1225"/>
      <c r="B129" s="321" t="s">
        <v>1059</v>
      </c>
      <c r="C129" s="321" t="s">
        <v>38</v>
      </c>
      <c r="D129" s="321" t="s">
        <v>329</v>
      </c>
      <c r="E129" s="321" t="s">
        <v>1060</v>
      </c>
      <c r="F129" s="1245"/>
      <c r="G129" s="1246"/>
      <c r="H129" s="1246"/>
      <c r="I129" s="1246"/>
      <c r="J129" s="1247"/>
      <c r="K129" s="68"/>
      <c r="L129" s="68"/>
      <c r="M129" s="68"/>
      <c r="N129" s="68"/>
      <c r="O129" s="68"/>
      <c r="P129" s="68"/>
      <c r="Q129" s="68"/>
      <c r="R129" s="68"/>
      <c r="S129" s="68"/>
      <c r="T129" s="68"/>
      <c r="U129" s="68"/>
      <c r="V129" s="68"/>
      <c r="W129" s="68"/>
      <c r="X129" s="68"/>
    </row>
    <row r="130" spans="1:24" s="297" customFormat="1" ht="20.149999999999999" customHeight="1" thickTop="1" thickBot="1">
      <c r="A130" s="1225"/>
      <c r="B130" s="293"/>
      <c r="C130" s="329"/>
      <c r="D130" s="336"/>
      <c r="E130" s="331"/>
      <c r="F130" s="1245"/>
      <c r="G130" s="1246"/>
      <c r="H130" s="1246"/>
      <c r="I130" s="1246"/>
      <c r="J130" s="1247"/>
      <c r="K130" s="68"/>
      <c r="L130" s="68"/>
      <c r="M130" s="68"/>
      <c r="N130" s="68"/>
      <c r="O130" s="68"/>
      <c r="P130" s="68"/>
      <c r="Q130" s="68"/>
      <c r="R130" s="68"/>
      <c r="S130" s="68"/>
      <c r="T130" s="68"/>
      <c r="U130" s="68"/>
      <c r="V130" s="68"/>
      <c r="W130" s="68"/>
      <c r="X130" s="68"/>
    </row>
    <row r="131" spans="1:24" s="297" customFormat="1" ht="20.149999999999999" customHeight="1" thickTop="1" thickBot="1">
      <c r="A131" s="1225"/>
      <c r="B131" s="293"/>
      <c r="C131" s="329"/>
      <c r="D131" s="336"/>
      <c r="E131" s="331"/>
      <c r="F131" s="1245"/>
      <c r="G131" s="1246"/>
      <c r="H131" s="1246"/>
      <c r="I131" s="1246"/>
      <c r="J131" s="1247"/>
      <c r="K131" s="68"/>
      <c r="L131" s="68"/>
      <c r="M131" s="68"/>
      <c r="N131" s="68"/>
      <c r="O131" s="68"/>
      <c r="P131" s="68"/>
      <c r="Q131" s="68"/>
      <c r="R131" s="68"/>
      <c r="S131" s="68"/>
      <c r="T131" s="68"/>
      <c r="U131" s="68"/>
      <c r="V131" s="68"/>
      <c r="W131" s="68"/>
      <c r="X131" s="68"/>
    </row>
    <row r="132" spans="1:24" s="297" customFormat="1" ht="20.149999999999999" customHeight="1" thickTop="1" thickBot="1">
      <c r="A132" s="1225"/>
      <c r="B132" s="293"/>
      <c r="C132" s="329"/>
      <c r="D132" s="336"/>
      <c r="E132" s="331"/>
      <c r="F132" s="1245"/>
      <c r="G132" s="1246"/>
      <c r="H132" s="1246"/>
      <c r="I132" s="1246"/>
      <c r="J132" s="1247"/>
      <c r="K132" s="68"/>
      <c r="L132" s="68"/>
      <c r="M132" s="68"/>
      <c r="N132" s="68"/>
      <c r="O132" s="68"/>
      <c r="P132" s="68"/>
      <c r="Q132" s="68"/>
      <c r="R132" s="68"/>
      <c r="S132" s="68"/>
      <c r="T132" s="68"/>
      <c r="U132" s="68"/>
      <c r="V132" s="68"/>
      <c r="W132" s="68"/>
      <c r="X132" s="68"/>
    </row>
    <row r="133" spans="1:24" s="297" customFormat="1" ht="20.149999999999999" customHeight="1" thickTop="1" thickBot="1">
      <c r="A133" s="1225"/>
      <c r="B133" s="293"/>
      <c r="C133" s="329"/>
      <c r="D133" s="336"/>
      <c r="E133" s="331"/>
      <c r="F133" s="1245"/>
      <c r="G133" s="1246"/>
      <c r="H133" s="1246"/>
      <c r="I133" s="1246"/>
      <c r="J133" s="1247"/>
      <c r="K133" s="68"/>
      <c r="L133" s="68"/>
      <c r="M133" s="68"/>
      <c r="N133" s="68"/>
      <c r="O133" s="68"/>
      <c r="P133" s="68"/>
      <c r="Q133" s="68"/>
      <c r="R133" s="68"/>
      <c r="S133" s="68"/>
      <c r="T133" s="68"/>
      <c r="U133" s="68"/>
      <c r="V133" s="68"/>
      <c r="W133" s="68"/>
      <c r="X133" s="68"/>
    </row>
    <row r="134" spans="1:24" s="297" customFormat="1" ht="20.149999999999999" customHeight="1" thickTop="1" thickBot="1">
      <c r="A134" s="1225"/>
      <c r="B134" s="293"/>
      <c r="C134" s="329"/>
      <c r="D134" s="336"/>
      <c r="E134" s="331"/>
      <c r="F134" s="1245"/>
      <c r="G134" s="1246"/>
      <c r="H134" s="1246"/>
      <c r="I134" s="1246"/>
      <c r="J134" s="1247"/>
      <c r="K134" s="68"/>
      <c r="L134" s="68"/>
      <c r="M134" s="68"/>
      <c r="N134" s="68"/>
      <c r="O134" s="68"/>
      <c r="P134" s="68"/>
      <c r="Q134" s="68"/>
      <c r="R134" s="68"/>
      <c r="S134" s="68"/>
      <c r="T134" s="68"/>
      <c r="U134" s="68"/>
      <c r="V134" s="68"/>
      <c r="W134" s="68"/>
      <c r="X134" s="68"/>
    </row>
    <row r="135" spans="1:24" s="297" customFormat="1" ht="20.149999999999999" customHeight="1" thickTop="1" thickBot="1">
      <c r="A135" s="1225"/>
      <c r="B135" s="293"/>
      <c r="C135" s="329"/>
      <c r="D135" s="336"/>
      <c r="E135" s="331"/>
      <c r="F135" s="1245"/>
      <c r="G135" s="1246"/>
      <c r="H135" s="1246"/>
      <c r="I135" s="1246"/>
      <c r="J135" s="1247"/>
      <c r="K135" s="68"/>
      <c r="L135" s="68"/>
      <c r="M135" s="68"/>
      <c r="N135" s="68"/>
      <c r="O135" s="68"/>
      <c r="P135" s="68"/>
      <c r="Q135" s="68"/>
      <c r="R135" s="68"/>
      <c r="S135" s="68"/>
      <c r="T135" s="68"/>
      <c r="U135" s="68"/>
      <c r="V135" s="68"/>
      <c r="W135" s="68"/>
      <c r="X135" s="68"/>
    </row>
    <row r="136" spans="1:24" s="297" customFormat="1" ht="20.149999999999999" customHeight="1" thickTop="1" thickBot="1">
      <c r="A136" s="1225"/>
      <c r="B136" s="293"/>
      <c r="C136" s="329"/>
      <c r="D136" s="336"/>
      <c r="E136" s="331"/>
      <c r="F136" s="1245"/>
      <c r="G136" s="1246"/>
      <c r="H136" s="1246"/>
      <c r="I136" s="1246"/>
      <c r="J136" s="1247"/>
      <c r="K136" s="68"/>
      <c r="L136" s="68"/>
      <c r="M136" s="68"/>
      <c r="N136" s="68"/>
      <c r="O136" s="68"/>
      <c r="P136" s="68"/>
      <c r="Q136" s="68"/>
      <c r="R136" s="68"/>
      <c r="S136" s="68"/>
      <c r="T136" s="68"/>
      <c r="U136" s="68"/>
      <c r="V136" s="68"/>
      <c r="W136" s="68"/>
      <c r="X136" s="68"/>
    </row>
    <row r="137" spans="1:24" s="297" customFormat="1" ht="20.149999999999999" customHeight="1" thickTop="1" thickBot="1">
      <c r="A137" s="1226"/>
      <c r="B137" s="293"/>
      <c r="C137" s="329"/>
      <c r="D137" s="336"/>
      <c r="E137" s="331"/>
      <c r="F137" s="1248"/>
      <c r="G137" s="1249"/>
      <c r="H137" s="1249"/>
      <c r="I137" s="1249"/>
      <c r="J137" s="1250"/>
      <c r="K137" s="68"/>
      <c r="L137" s="68"/>
      <c r="M137" s="68"/>
      <c r="N137" s="68"/>
      <c r="O137" s="68"/>
      <c r="P137" s="68"/>
      <c r="Q137" s="68"/>
      <c r="R137" s="68"/>
      <c r="S137" s="68"/>
      <c r="T137" s="68"/>
      <c r="U137" s="68"/>
      <c r="V137" s="68"/>
      <c r="W137" s="68"/>
      <c r="X137" s="68"/>
    </row>
    <row r="138" spans="1:24" ht="16.5" thickTop="1" thickBot="1">
      <c r="A138" s="513" t="s">
        <v>502</v>
      </c>
      <c r="B138" s="514"/>
      <c r="C138" s="514"/>
      <c r="D138" s="514"/>
      <c r="E138" s="514"/>
      <c r="F138" s="514"/>
      <c r="G138" s="514"/>
      <c r="H138" s="514"/>
      <c r="I138" s="514"/>
      <c r="J138" s="515"/>
    </row>
    <row r="139" spans="1:24" ht="25" thickTop="1" thickBot="1">
      <c r="A139" s="315" t="s">
        <v>188</v>
      </c>
      <c r="B139" s="315" t="s">
        <v>180</v>
      </c>
      <c r="C139" s="1286" t="s">
        <v>189</v>
      </c>
      <c r="D139" s="1287"/>
      <c r="E139" s="1287"/>
      <c r="F139" s="1288"/>
      <c r="G139" s="1286" t="s">
        <v>190</v>
      </c>
      <c r="H139" s="1287"/>
      <c r="I139" s="1287"/>
      <c r="J139" s="1288"/>
    </row>
    <row r="140" spans="1:24" ht="28.5" customHeight="1" thickTop="1" thickBot="1">
      <c r="A140" s="316" t="s">
        <v>191</v>
      </c>
      <c r="B140" s="317">
        <v>1</v>
      </c>
      <c r="C140" s="1236" t="s">
        <v>192</v>
      </c>
      <c r="D140" s="1237"/>
      <c r="E140" s="1237"/>
      <c r="F140" s="1238"/>
      <c r="G140" s="1227" t="s">
        <v>193</v>
      </c>
      <c r="H140" s="1228"/>
      <c r="I140" s="1228"/>
      <c r="J140" s="1229"/>
    </row>
    <row r="141" spans="1:24" ht="26.25" customHeight="1" thickTop="1" thickBot="1">
      <c r="A141" s="1221" t="s">
        <v>194</v>
      </c>
      <c r="B141" s="317">
        <v>2</v>
      </c>
      <c r="C141" s="1236" t="s">
        <v>195</v>
      </c>
      <c r="D141" s="1237"/>
      <c r="E141" s="1237"/>
      <c r="F141" s="1238"/>
      <c r="G141" s="1230" t="s">
        <v>197</v>
      </c>
      <c r="H141" s="1231"/>
      <c r="I141" s="1231"/>
      <c r="J141" s="1232"/>
    </row>
    <row r="142" spans="1:24" ht="26.25" customHeight="1" thickTop="1" thickBot="1">
      <c r="A142" s="1222"/>
      <c r="B142" s="317">
        <v>3</v>
      </c>
      <c r="C142" s="1236" t="s">
        <v>196</v>
      </c>
      <c r="D142" s="1237"/>
      <c r="E142" s="1237"/>
      <c r="F142" s="1238"/>
      <c r="G142" s="1233"/>
      <c r="H142" s="1234"/>
      <c r="I142" s="1234"/>
      <c r="J142" s="1235"/>
    </row>
    <row r="143" spans="1:24" ht="50.25" customHeight="1" thickTop="1" thickBot="1">
      <c r="A143" s="1221" t="s">
        <v>198</v>
      </c>
      <c r="B143" s="317">
        <v>4</v>
      </c>
      <c r="C143" s="1236" t="s">
        <v>199</v>
      </c>
      <c r="D143" s="1237"/>
      <c r="E143" s="1237"/>
      <c r="F143" s="1238"/>
      <c r="G143" s="1227" t="s">
        <v>201</v>
      </c>
      <c r="H143" s="1228"/>
      <c r="I143" s="1228"/>
      <c r="J143" s="1229"/>
    </row>
    <row r="144" spans="1:24" ht="84.75" customHeight="1" thickTop="1" thickBot="1">
      <c r="A144" s="1222"/>
      <c r="B144" s="317">
        <v>5</v>
      </c>
      <c r="C144" s="1236" t="s">
        <v>200</v>
      </c>
      <c r="D144" s="1237"/>
      <c r="E144" s="1237"/>
      <c r="F144" s="1238"/>
      <c r="G144" s="1227" t="s">
        <v>202</v>
      </c>
      <c r="H144" s="1228"/>
      <c r="I144" s="1228"/>
      <c r="J144" s="1229"/>
    </row>
    <row r="145" spans="1:10" ht="170.25" customHeight="1" thickTop="1" thickBot="1">
      <c r="A145" s="1221" t="s">
        <v>203</v>
      </c>
      <c r="B145" s="317">
        <v>6</v>
      </c>
      <c r="C145" s="1236" t="s">
        <v>204</v>
      </c>
      <c r="D145" s="1237"/>
      <c r="E145" s="1237"/>
      <c r="F145" s="1238"/>
      <c r="G145" s="1227" t="s">
        <v>330</v>
      </c>
      <c r="H145" s="1228"/>
      <c r="I145" s="1228"/>
      <c r="J145" s="1229"/>
    </row>
    <row r="146" spans="1:10" ht="108.75" customHeight="1" thickTop="1" thickBot="1">
      <c r="A146" s="1222"/>
      <c r="B146" s="317">
        <v>7</v>
      </c>
      <c r="C146" s="1236" t="s">
        <v>205</v>
      </c>
      <c r="D146" s="1237"/>
      <c r="E146" s="1237"/>
      <c r="F146" s="1238"/>
      <c r="G146" s="1227" t="s">
        <v>206</v>
      </c>
      <c r="H146" s="1228"/>
      <c r="I146" s="1228"/>
      <c r="J146" s="1229"/>
    </row>
    <row r="147" spans="1:10" ht="60.75" customHeight="1" thickTop="1" thickBot="1">
      <c r="A147" s="1221" t="s">
        <v>207</v>
      </c>
      <c r="B147" s="317">
        <v>8</v>
      </c>
      <c r="C147" s="1236" t="s">
        <v>208</v>
      </c>
      <c r="D147" s="1237"/>
      <c r="E147" s="1237"/>
      <c r="F147" s="1238"/>
      <c r="G147" s="1227" t="s">
        <v>210</v>
      </c>
      <c r="H147" s="1228"/>
      <c r="I147" s="1228"/>
      <c r="J147" s="1229"/>
    </row>
    <row r="148" spans="1:10" ht="96.75" customHeight="1" thickTop="1" thickBot="1">
      <c r="A148" s="1222"/>
      <c r="B148" s="317">
        <v>9</v>
      </c>
      <c r="C148" s="1236" t="s">
        <v>209</v>
      </c>
      <c r="D148" s="1237"/>
      <c r="E148" s="1237"/>
      <c r="F148" s="1238"/>
      <c r="G148" s="1227" t="s">
        <v>211</v>
      </c>
      <c r="H148" s="1228"/>
      <c r="I148" s="1228"/>
      <c r="J148" s="1229"/>
    </row>
    <row r="149" spans="1:10" ht="61.5" customHeight="1" thickTop="1" thickBot="1">
      <c r="A149" s="316" t="s">
        <v>212</v>
      </c>
      <c r="B149" s="317">
        <v>10</v>
      </c>
      <c r="C149" s="1236" t="s">
        <v>213</v>
      </c>
      <c r="D149" s="1237"/>
      <c r="E149" s="1237"/>
      <c r="F149" s="1238"/>
      <c r="G149" s="1227" t="s">
        <v>214</v>
      </c>
      <c r="H149" s="1228"/>
      <c r="I149" s="1228"/>
      <c r="J149" s="1229"/>
    </row>
    <row r="150" spans="1:10" ht="62.25" customHeight="1" thickTop="1" thickBot="1">
      <c r="A150" s="1221" t="s">
        <v>215</v>
      </c>
      <c r="B150" s="317">
        <v>11</v>
      </c>
      <c r="C150" s="1236" t="s">
        <v>216</v>
      </c>
      <c r="D150" s="1237"/>
      <c r="E150" s="1237"/>
      <c r="F150" s="1238"/>
      <c r="G150" s="1227" t="s">
        <v>218</v>
      </c>
      <c r="H150" s="1228"/>
      <c r="I150" s="1228"/>
      <c r="J150" s="1229"/>
    </row>
    <row r="151" spans="1:10" ht="63" customHeight="1" thickTop="1" thickBot="1">
      <c r="A151" s="1222"/>
      <c r="B151" s="317">
        <v>12</v>
      </c>
      <c r="C151" s="1236" t="s">
        <v>217</v>
      </c>
      <c r="D151" s="1237"/>
      <c r="E151" s="1237"/>
      <c r="F151" s="1238"/>
      <c r="G151" s="1227" t="s">
        <v>219</v>
      </c>
      <c r="H151" s="1228"/>
      <c r="I151" s="1228"/>
      <c r="J151" s="1229"/>
    </row>
    <row r="152" spans="1:10" ht="62.25" customHeight="1" thickTop="1" thickBot="1">
      <c r="A152" s="316" t="s">
        <v>220</v>
      </c>
      <c r="B152" s="317">
        <v>13</v>
      </c>
      <c r="C152" s="1236" t="s">
        <v>221</v>
      </c>
      <c r="D152" s="1237"/>
      <c r="E152" s="1237"/>
      <c r="F152" s="1238"/>
      <c r="G152" s="1227" t="s">
        <v>222</v>
      </c>
      <c r="H152" s="1228"/>
      <c r="I152" s="1228"/>
      <c r="J152" s="1229"/>
    </row>
    <row r="153" spans="1:10" ht="26.25" customHeight="1" thickTop="1" thickBot="1">
      <c r="A153" s="1221" t="s">
        <v>223</v>
      </c>
      <c r="B153" s="317">
        <v>14</v>
      </c>
      <c r="C153" s="1236" t="s">
        <v>224</v>
      </c>
      <c r="D153" s="1237"/>
      <c r="E153" s="1237"/>
      <c r="F153" s="1238"/>
      <c r="G153" s="1230" t="s">
        <v>231</v>
      </c>
      <c r="H153" s="1231"/>
      <c r="I153" s="1231"/>
      <c r="J153" s="1232"/>
    </row>
    <row r="154" spans="1:10" ht="37.5" customHeight="1" thickTop="1" thickBot="1">
      <c r="A154" s="1223"/>
      <c r="B154" s="317">
        <v>15</v>
      </c>
      <c r="C154" s="1236" t="s">
        <v>225</v>
      </c>
      <c r="D154" s="1237"/>
      <c r="E154" s="1237"/>
      <c r="F154" s="1238"/>
      <c r="G154" s="1289"/>
      <c r="H154" s="1290"/>
      <c r="I154" s="1290"/>
      <c r="J154" s="1291"/>
    </row>
    <row r="155" spans="1:10" ht="37.5" customHeight="1" thickTop="1" thickBot="1">
      <c r="A155" s="1223"/>
      <c r="B155" s="317">
        <v>16</v>
      </c>
      <c r="C155" s="1236" t="s">
        <v>226</v>
      </c>
      <c r="D155" s="1237"/>
      <c r="E155" s="1237"/>
      <c r="F155" s="1238"/>
      <c r="G155" s="1289"/>
      <c r="H155" s="1290"/>
      <c r="I155" s="1290"/>
      <c r="J155" s="1291"/>
    </row>
    <row r="156" spans="1:10" ht="26.25" customHeight="1" thickTop="1" thickBot="1">
      <c r="A156" s="1223"/>
      <c r="B156" s="317">
        <v>17</v>
      </c>
      <c r="C156" s="1236" t="s">
        <v>227</v>
      </c>
      <c r="D156" s="1237"/>
      <c r="E156" s="1237"/>
      <c r="F156" s="1238"/>
      <c r="G156" s="1289"/>
      <c r="H156" s="1290"/>
      <c r="I156" s="1290"/>
      <c r="J156" s="1291"/>
    </row>
    <row r="157" spans="1:10" ht="26.25" customHeight="1" thickTop="1" thickBot="1">
      <c r="A157" s="1223"/>
      <c r="B157" s="317">
        <v>18</v>
      </c>
      <c r="C157" s="1236" t="s">
        <v>228</v>
      </c>
      <c r="D157" s="1237"/>
      <c r="E157" s="1237"/>
      <c r="F157" s="1238"/>
      <c r="G157" s="1289"/>
      <c r="H157" s="1290"/>
      <c r="I157" s="1290"/>
      <c r="J157" s="1291"/>
    </row>
    <row r="158" spans="1:10" ht="37.5" customHeight="1" thickTop="1" thickBot="1">
      <c r="A158" s="1223"/>
      <c r="B158" s="317">
        <v>19</v>
      </c>
      <c r="C158" s="1236" t="s">
        <v>229</v>
      </c>
      <c r="D158" s="1237"/>
      <c r="E158" s="1237"/>
      <c r="F158" s="1238"/>
      <c r="G158" s="1233"/>
      <c r="H158" s="1234"/>
      <c r="I158" s="1234"/>
      <c r="J158" s="1235"/>
    </row>
    <row r="159" spans="1:10" ht="37.5" customHeight="1" thickTop="1" thickBot="1">
      <c r="A159" s="1222"/>
      <c r="B159" s="317">
        <v>20</v>
      </c>
      <c r="C159" s="1236" t="s">
        <v>230</v>
      </c>
      <c r="D159" s="1237"/>
      <c r="E159" s="1237"/>
      <c r="F159" s="1238"/>
      <c r="G159" s="1227" t="s">
        <v>232</v>
      </c>
      <c r="H159" s="1228"/>
      <c r="I159" s="1228"/>
      <c r="J159" s="1229"/>
    </row>
    <row r="160" spans="1:10" ht="16.5" customHeight="1" thickTop="1" thickBot="1">
      <c r="A160" s="1221" t="s">
        <v>233</v>
      </c>
      <c r="B160" s="317">
        <v>21</v>
      </c>
      <c r="C160" s="1236" t="s">
        <v>234</v>
      </c>
      <c r="D160" s="1237"/>
      <c r="E160" s="1237"/>
      <c r="F160" s="1238"/>
      <c r="G160" s="1230" t="s">
        <v>231</v>
      </c>
      <c r="H160" s="1231"/>
      <c r="I160" s="1231"/>
      <c r="J160" s="1232"/>
    </row>
    <row r="161" spans="1:10" ht="15.5" thickTop="1" thickBot="1">
      <c r="A161" s="1223"/>
      <c r="B161" s="317">
        <v>22</v>
      </c>
      <c r="C161" s="1236" t="s">
        <v>331</v>
      </c>
      <c r="D161" s="1237"/>
      <c r="E161" s="1237"/>
      <c r="F161" s="1238"/>
      <c r="G161" s="1289"/>
      <c r="H161" s="1290"/>
      <c r="I161" s="1290"/>
      <c r="J161" s="1291"/>
    </row>
    <row r="162" spans="1:10" ht="15.5" thickTop="1" thickBot="1">
      <c r="A162" s="1223"/>
      <c r="B162" s="317">
        <v>23</v>
      </c>
      <c r="C162" s="1236" t="s">
        <v>235</v>
      </c>
      <c r="D162" s="1237"/>
      <c r="E162" s="1237"/>
      <c r="F162" s="1238"/>
      <c r="G162" s="1289"/>
      <c r="H162" s="1290"/>
      <c r="I162" s="1290"/>
      <c r="J162" s="1291"/>
    </row>
    <row r="163" spans="1:10" ht="41.25" customHeight="1" thickTop="1" thickBot="1">
      <c r="A163" s="1223"/>
      <c r="B163" s="317">
        <v>24</v>
      </c>
      <c r="C163" s="1236" t="s">
        <v>236</v>
      </c>
      <c r="D163" s="1237"/>
      <c r="E163" s="1237"/>
      <c r="F163" s="1238"/>
      <c r="G163" s="1289"/>
      <c r="H163" s="1290"/>
      <c r="I163" s="1290"/>
      <c r="J163" s="1291"/>
    </row>
    <row r="164" spans="1:10" ht="15.5" thickTop="1" thickBot="1">
      <c r="A164" s="1223"/>
      <c r="B164" s="317">
        <v>25</v>
      </c>
      <c r="C164" s="1236" t="s">
        <v>237</v>
      </c>
      <c r="D164" s="1237"/>
      <c r="E164" s="1237"/>
      <c r="F164" s="1238"/>
      <c r="G164" s="1289"/>
      <c r="H164" s="1290"/>
      <c r="I164" s="1290"/>
      <c r="J164" s="1291"/>
    </row>
    <row r="165" spans="1:10" ht="26.25" customHeight="1" thickTop="1" thickBot="1">
      <c r="A165" s="1223"/>
      <c r="B165" s="317">
        <v>26</v>
      </c>
      <c r="C165" s="1236" t="s">
        <v>238</v>
      </c>
      <c r="D165" s="1237"/>
      <c r="E165" s="1237"/>
      <c r="F165" s="1238"/>
      <c r="G165" s="1289"/>
      <c r="H165" s="1290"/>
      <c r="I165" s="1290"/>
      <c r="J165" s="1291"/>
    </row>
    <row r="166" spans="1:10" ht="15.5" thickTop="1" thickBot="1">
      <c r="A166" s="1223"/>
      <c r="B166" s="317">
        <v>27</v>
      </c>
      <c r="C166" s="1236" t="s">
        <v>239</v>
      </c>
      <c r="D166" s="1237"/>
      <c r="E166" s="1237"/>
      <c r="F166" s="1238"/>
      <c r="G166" s="1289"/>
      <c r="H166" s="1290"/>
      <c r="I166" s="1290"/>
      <c r="J166" s="1291"/>
    </row>
    <row r="167" spans="1:10" ht="15.5" thickTop="1" thickBot="1">
      <c r="A167" s="1223"/>
      <c r="B167" s="317">
        <v>28</v>
      </c>
      <c r="C167" s="1236" t="s">
        <v>240</v>
      </c>
      <c r="D167" s="1237"/>
      <c r="E167" s="1237"/>
      <c r="F167" s="1238"/>
      <c r="G167" s="1289"/>
      <c r="H167" s="1290"/>
      <c r="I167" s="1290"/>
      <c r="J167" s="1291"/>
    </row>
    <row r="168" spans="1:10" ht="15.5" thickTop="1" thickBot="1">
      <c r="A168" s="1222"/>
      <c r="B168" s="317">
        <v>29</v>
      </c>
      <c r="C168" s="1236" t="s">
        <v>241</v>
      </c>
      <c r="D168" s="1237"/>
      <c r="E168" s="1237"/>
      <c r="F168" s="1238"/>
      <c r="G168" s="1233"/>
      <c r="H168" s="1234"/>
      <c r="I168" s="1234"/>
      <c r="J168" s="1235"/>
    </row>
    <row r="169" spans="1:10" ht="197.25" customHeight="1" thickTop="1" thickBot="1">
      <c r="A169" s="316" t="s">
        <v>242</v>
      </c>
      <c r="B169" s="317">
        <v>30</v>
      </c>
      <c r="C169" s="1236" t="s">
        <v>243</v>
      </c>
      <c r="D169" s="1237"/>
      <c r="E169" s="1237"/>
      <c r="F169" s="1238"/>
      <c r="G169" s="1227" t="s">
        <v>332</v>
      </c>
      <c r="H169" s="1228"/>
      <c r="I169" s="1228"/>
      <c r="J169" s="1229"/>
    </row>
    <row r="170" spans="1:10" ht="30" customHeight="1" thickTop="1" thickBot="1">
      <c r="A170" s="1221" t="s">
        <v>292</v>
      </c>
      <c r="B170" s="317">
        <v>31</v>
      </c>
      <c r="C170" s="1236" t="s">
        <v>245</v>
      </c>
      <c r="D170" s="1237"/>
      <c r="E170" s="1237"/>
      <c r="F170" s="1238"/>
      <c r="G170" s="1230" t="s">
        <v>247</v>
      </c>
      <c r="H170" s="1231"/>
      <c r="I170" s="1231"/>
      <c r="J170" s="1232"/>
    </row>
    <row r="171" spans="1:10" ht="30" customHeight="1" thickTop="1">
      <c r="A171" s="1223"/>
      <c r="B171" s="1260">
        <v>32</v>
      </c>
      <c r="C171" s="1262" t="s">
        <v>246</v>
      </c>
      <c r="D171" s="1263"/>
      <c r="E171" s="1263"/>
      <c r="F171" s="1264"/>
      <c r="G171" s="1289"/>
      <c r="H171" s="1290"/>
      <c r="I171" s="1290"/>
      <c r="J171" s="1291"/>
    </row>
    <row r="172" spans="1:10" ht="30" customHeight="1" thickBot="1">
      <c r="A172" s="1222"/>
      <c r="B172" s="1261"/>
      <c r="C172" s="1265"/>
      <c r="D172" s="1082"/>
      <c r="E172" s="1082"/>
      <c r="F172" s="1083"/>
      <c r="G172" s="1233"/>
      <c r="H172" s="1234"/>
      <c r="I172" s="1234"/>
      <c r="J172" s="1235"/>
    </row>
    <row r="173" spans="1:10" ht="85.5" customHeight="1" thickTop="1" thickBot="1">
      <c r="A173" s="316" t="s">
        <v>244</v>
      </c>
      <c r="B173" s="317">
        <v>33</v>
      </c>
      <c r="C173" s="1236" t="s">
        <v>249</v>
      </c>
      <c r="D173" s="1237"/>
      <c r="E173" s="1237"/>
      <c r="F173" s="1238"/>
      <c r="G173" s="1227" t="s">
        <v>250</v>
      </c>
      <c r="H173" s="1228"/>
      <c r="I173" s="1228"/>
      <c r="J173" s="1229"/>
    </row>
    <row r="174" spans="1:10" ht="75" customHeight="1" thickTop="1" thickBot="1">
      <c r="A174" s="1221" t="s">
        <v>248</v>
      </c>
      <c r="B174" s="317">
        <v>34</v>
      </c>
      <c r="C174" s="1236" t="s">
        <v>251</v>
      </c>
      <c r="D174" s="1237"/>
      <c r="E174" s="1237"/>
      <c r="F174" s="1238"/>
      <c r="G174" s="1230" t="s">
        <v>333</v>
      </c>
      <c r="H174" s="1231"/>
      <c r="I174" s="1231"/>
      <c r="J174" s="1232"/>
    </row>
    <row r="175" spans="1:10" ht="133.5" customHeight="1" thickTop="1" thickBot="1">
      <c r="A175" s="1222"/>
      <c r="B175" s="317">
        <v>35</v>
      </c>
      <c r="C175" s="1236" t="s">
        <v>252</v>
      </c>
      <c r="D175" s="1237"/>
      <c r="E175" s="1237"/>
      <c r="F175" s="1238"/>
      <c r="G175" s="1233"/>
      <c r="H175" s="1234"/>
      <c r="I175" s="1234"/>
      <c r="J175" s="1235"/>
    </row>
    <row r="176" spans="1:10" ht="15" thickTop="1"/>
    <row r="177" spans="1:1" ht="15.5">
      <c r="A177" s="318"/>
    </row>
  </sheetData>
  <sheetProtection algorithmName="SHA-512" hashValue="XwX+fAEp8Skdb4DkKRZRux0Sk4Ash2gpZfOnNFtg19mJmWZu+LW2G0GzsmMuScmiGHuTdufstauoo7w5gpU2sg==" saltValue="4zVR6PdnCjmQK2JRIAqeqw==" spinCount="100000" sheet="1" objects="1" scenarios="1" selectLockedCells="1"/>
  <customSheetViews>
    <customSheetView guid="{E1D23BD2-FE11-448B-A102-D2461140BE5A}" fitToPage="1" hiddenRows="1">
      <selection activeCell="I2" sqref="I2:J2"/>
      <pageMargins left="0.5" right="0.5" top="0.75" bottom="0.75" header="0.3" footer="0.3"/>
      <printOptions horizontalCentered="1"/>
      <pageSetup scale="89" fitToHeight="20" orientation="portrait" r:id="rId1"/>
      <headerFooter>
        <oddHeader>&amp;L&amp;"Arial,Regular"&amp;8Texas Department of Aging
and Disability Services&amp;C&amp;"Arial,Bold"&amp;12ADULT FOSTER CARE
INDIVIDUALS' FUNDS SUMMARY&amp;R&amp;"Arial,Regular"&amp;8Form TBD
Page &amp;P</oddHeader>
      </headerFooter>
    </customSheetView>
    <customSheetView guid="{B71FF06E-B5A8-4FBF-B20E-2B604DE9BFBD}" fitToPage="1" hiddenRows="1">
      <selection sqref="A1:F1"/>
      <pageMargins left="0.5" right="0.5" top="0.75" bottom="0.75" header="0.3" footer="0.3"/>
      <printOptions horizontalCentered="1"/>
      <pageSetup scale="89" fitToHeight="20" orientation="portrait" r:id="rId2"/>
      <headerFooter>
        <oddHeader>&amp;L&amp;"Arial,Regular"&amp;8Texas Department of Aging
and Disability Services&amp;C&amp;"Arial,Bold"&amp;12ADULT FOSTER CARE
INDIVIDUALS' FUNDS SUMMARY&amp;R&amp;"Arial,Regular"&amp;8Form TBD
Page &amp;P</oddHeader>
      </headerFooter>
    </customSheetView>
  </customSheetViews>
  <mergeCells count="135">
    <mergeCell ref="C174:F174"/>
    <mergeCell ref="C175:F175"/>
    <mergeCell ref="G174:J175"/>
    <mergeCell ref="G160:J168"/>
    <mergeCell ref="C169:F169"/>
    <mergeCell ref="G169:J169"/>
    <mergeCell ref="C170:F170"/>
    <mergeCell ref="G170:J172"/>
    <mergeCell ref="C173:F173"/>
    <mergeCell ref="G173:J173"/>
    <mergeCell ref="C160:F160"/>
    <mergeCell ref="C161:F161"/>
    <mergeCell ref="C162:F162"/>
    <mergeCell ref="C163:F163"/>
    <mergeCell ref="C164:F164"/>
    <mergeCell ref="C165:F165"/>
    <mergeCell ref="C166:F166"/>
    <mergeCell ref="C167:F167"/>
    <mergeCell ref="C168:F168"/>
    <mergeCell ref="C153:F153"/>
    <mergeCell ref="C154:F154"/>
    <mergeCell ref="C155:F155"/>
    <mergeCell ref="C156:F156"/>
    <mergeCell ref="C157:F157"/>
    <mergeCell ref="C158:F158"/>
    <mergeCell ref="C159:F159"/>
    <mergeCell ref="G153:J158"/>
    <mergeCell ref="G159:J159"/>
    <mergeCell ref="A28:A33"/>
    <mergeCell ref="C151:F151"/>
    <mergeCell ref="G151:J151"/>
    <mergeCell ref="C152:F152"/>
    <mergeCell ref="G152:J152"/>
    <mergeCell ref="C142:F142"/>
    <mergeCell ref="C143:F143"/>
    <mergeCell ref="G143:J143"/>
    <mergeCell ref="C144:F144"/>
    <mergeCell ref="C149:F149"/>
    <mergeCell ref="G149:J149"/>
    <mergeCell ref="C150:F150"/>
    <mergeCell ref="G150:J150"/>
    <mergeCell ref="A109:A118"/>
    <mergeCell ref="A143:A144"/>
    <mergeCell ref="A138:J138"/>
    <mergeCell ref="C139:F139"/>
    <mergeCell ref="G140:J140"/>
    <mergeCell ref="A128:A137"/>
    <mergeCell ref="C141:F141"/>
    <mergeCell ref="G139:J139"/>
    <mergeCell ref="A141:A142"/>
    <mergeCell ref="A52:A60"/>
    <mergeCell ref="B61:B62"/>
    <mergeCell ref="C61:C62"/>
    <mergeCell ref="D61:D62"/>
    <mergeCell ref="E61:E62"/>
    <mergeCell ref="H34:J42"/>
    <mergeCell ref="A90:A99"/>
    <mergeCell ref="G1:H1"/>
    <mergeCell ref="I1:J1"/>
    <mergeCell ref="G2:H2"/>
    <mergeCell ref="I2:J2"/>
    <mergeCell ref="A1:F1"/>
    <mergeCell ref="A2:F2"/>
    <mergeCell ref="A19:A24"/>
    <mergeCell ref="A6:B6"/>
    <mergeCell ref="C6:E6"/>
    <mergeCell ref="A7:B7"/>
    <mergeCell ref="C7:E7"/>
    <mergeCell ref="A8:B8"/>
    <mergeCell ref="C8:E8"/>
    <mergeCell ref="A80:A89"/>
    <mergeCell ref="H8:J8"/>
    <mergeCell ref="A9:J9"/>
    <mergeCell ref="A71:A79"/>
    <mergeCell ref="A25:A27"/>
    <mergeCell ref="F6:J7"/>
    <mergeCell ref="A100:A108"/>
    <mergeCell ref="F8:G8"/>
    <mergeCell ref="B35:B42"/>
    <mergeCell ref="F100:J108"/>
    <mergeCell ref="B101:B108"/>
    <mergeCell ref="B171:B172"/>
    <mergeCell ref="C171:F172"/>
    <mergeCell ref="A10:J10"/>
    <mergeCell ref="A170:A172"/>
    <mergeCell ref="B53:B60"/>
    <mergeCell ref="H52:J60"/>
    <mergeCell ref="B63:B70"/>
    <mergeCell ref="F61:J70"/>
    <mergeCell ref="B72:B79"/>
    <mergeCell ref="F71:J79"/>
    <mergeCell ref="F109:J118"/>
    <mergeCell ref="F119:J127"/>
    <mergeCell ref="A16:A18"/>
    <mergeCell ref="A11:A15"/>
    <mergeCell ref="E11:J15"/>
    <mergeCell ref="B12:B15"/>
    <mergeCell ref="E16:J18"/>
    <mergeCell ref="E25:J27"/>
    <mergeCell ref="A61:A70"/>
    <mergeCell ref="A174:A175"/>
    <mergeCell ref="A150:A151"/>
    <mergeCell ref="A153:A159"/>
    <mergeCell ref="A160:A168"/>
    <mergeCell ref="A34:A42"/>
    <mergeCell ref="A145:A146"/>
    <mergeCell ref="A147:A148"/>
    <mergeCell ref="G144:J144"/>
    <mergeCell ref="G141:J142"/>
    <mergeCell ref="C145:F145"/>
    <mergeCell ref="G145:J145"/>
    <mergeCell ref="C146:F146"/>
    <mergeCell ref="G146:J146"/>
    <mergeCell ref="C147:F147"/>
    <mergeCell ref="G147:J147"/>
    <mergeCell ref="C148:F148"/>
    <mergeCell ref="G148:J148"/>
    <mergeCell ref="C140:F140"/>
    <mergeCell ref="A119:A127"/>
    <mergeCell ref="A43:A51"/>
    <mergeCell ref="B120:B127"/>
    <mergeCell ref="F128:J137"/>
    <mergeCell ref="B44:B51"/>
    <mergeCell ref="H43:J51"/>
    <mergeCell ref="A3:B3"/>
    <mergeCell ref="I3:J3"/>
    <mergeCell ref="C3:D3"/>
    <mergeCell ref="C4:D4"/>
    <mergeCell ref="C5:D5"/>
    <mergeCell ref="E3:F3"/>
    <mergeCell ref="E4:F4"/>
    <mergeCell ref="E5:F5"/>
    <mergeCell ref="G3:H3"/>
    <mergeCell ref="G4:H4"/>
    <mergeCell ref="G5:H5"/>
  </mergeCells>
  <dataValidations count="11">
    <dataValidation type="whole" allowBlank="1" showInputMessage="1" showErrorMessage="1" sqref="B18" xr:uid="{00000000-0002-0000-0C00-000000000000}">
      <formula1>2</formula1>
      <formula2>3</formula2>
    </dataValidation>
    <dataValidation type="whole" allowBlank="1" showInputMessage="1" showErrorMessage="1" sqref="B120 B72 C101:C108 C120:C127 H21:H24 B12 C12:D15 C72:C79 C82:C89 H82:H89 C63:C70 C21:C24 C30:C33 H30:H33 C35:C42 C130:C137 C44:C51 C92:C99 H92:H99 C111:C118 C53:C60" xr:uid="{00000000-0002-0000-0C00-000001000000}">
      <formula1>1</formula1>
      <formula2>99</formula2>
    </dataValidation>
    <dataValidation type="whole" allowBlank="1" showInputMessage="1" showErrorMessage="1" sqref="B21:B24 G21:G24" xr:uid="{00000000-0002-0000-0C00-000002000000}">
      <formula1>4</formula1>
      <formula2>5</formula2>
    </dataValidation>
    <dataValidation type="whole" allowBlank="1" showInputMessage="1" showErrorMessage="1" sqref="B27" xr:uid="{00000000-0002-0000-0C00-000003000000}">
      <formula1>6</formula1>
      <formula2>7</formula2>
    </dataValidation>
    <dataValidation type="whole" allowBlank="1" showInputMessage="1" showErrorMessage="1" sqref="G30:G33 B30:B33" xr:uid="{00000000-0002-0000-0C00-000004000000}">
      <formula1>8</formula1>
      <formula2>9</formula2>
    </dataValidation>
    <dataValidation type="whole" allowBlank="1" showInputMessage="1" showErrorMessage="1" sqref="B63" xr:uid="{00000000-0002-0000-0C00-000005000000}">
      <formula1>13</formula1>
      <formula2>13</formula2>
    </dataValidation>
    <dataValidation type="whole" allowBlank="1" showInputMessage="1" showErrorMessage="1" sqref="G82:G89 B82:B89" xr:uid="{00000000-0002-0000-0C00-000006000000}">
      <formula1>14</formula1>
      <formula2>20</formula2>
    </dataValidation>
    <dataValidation type="whole" allowBlank="1" showInputMessage="1" showErrorMessage="1" sqref="G92:G99 B92:B99" xr:uid="{00000000-0002-0000-0C00-000007000000}">
      <formula1>21</formula1>
      <formula2>29</formula2>
    </dataValidation>
    <dataValidation type="whole" allowBlank="1" showInputMessage="1" showErrorMessage="1" sqref="B111:B118" xr:uid="{00000000-0002-0000-0C00-000008000000}">
      <formula1>31</formula1>
      <formula2>32</formula2>
    </dataValidation>
    <dataValidation type="whole" allowBlank="1" showInputMessage="1" showErrorMessage="1" sqref="B130:B137" xr:uid="{00000000-0002-0000-0C00-000009000000}">
      <formula1>34</formula1>
      <formula2>35</formula2>
    </dataValidation>
    <dataValidation type="date" operator="greaterThan" allowBlank="1" showInputMessage="1" showErrorMessage="1" sqref="D130:D137 D63:D70 D72:D79 D82:D89 I82:I89 D92:D99 I92:I99 D101:D108" xr:uid="{00000000-0002-0000-0C00-00000A000000}">
      <formula1>1</formula1>
    </dataValidation>
  </dataValidations>
  <printOptions horizontalCentered="1"/>
  <pageMargins left="0.5" right="0.5" top="0.75" bottom="0.75" header="0.3" footer="0.3"/>
  <pageSetup scale="89" fitToHeight="20" orientation="portrait" r:id="rId3"/>
  <headerFooter>
    <oddHeader>&amp;L&amp;"Arial,Regular"&amp;8Texas Department of Aging
and Disability Services&amp;C&amp;"Arial,Bold"&amp;12ADULT FOSTER CARE
INDIVIDUALS' FUNDS SUMMARY&amp;R&amp;"Arial,Regular"&amp;8Form TBD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5" tint="0.79998168889431442"/>
  </sheetPr>
  <dimension ref="A1:U75"/>
  <sheetViews>
    <sheetView zoomScaleNormal="100" workbookViewId="0">
      <selection activeCell="B53" sqref="B53:K53"/>
    </sheetView>
  </sheetViews>
  <sheetFormatPr defaultRowHeight="14.5"/>
  <sheetData>
    <row r="1" spans="1:20" s="68" customFormat="1" ht="13.5" thickBot="1">
      <c r="A1" s="1320" t="s">
        <v>514</v>
      </c>
      <c r="B1" s="1321"/>
      <c r="C1" s="1321"/>
      <c r="D1" s="1321"/>
      <c r="E1" s="1321"/>
      <c r="F1" s="1321"/>
      <c r="G1" s="1321"/>
      <c r="H1" s="1321"/>
      <c r="I1" s="1321"/>
      <c r="J1" s="1321"/>
      <c r="K1" s="1322"/>
      <c r="L1" s="60"/>
      <c r="M1" s="60"/>
      <c r="N1" s="60"/>
      <c r="O1" s="60"/>
      <c r="P1" s="60"/>
      <c r="Q1" s="60"/>
      <c r="R1" s="60"/>
      <c r="S1" s="60"/>
      <c r="T1" s="60"/>
    </row>
    <row r="2" spans="1:20" s="68" customFormat="1" ht="13">
      <c r="A2" s="1323" t="s">
        <v>515</v>
      </c>
      <c r="B2" s="1324"/>
      <c r="C2" s="1324"/>
      <c r="D2" s="1324"/>
      <c r="E2" s="1324"/>
      <c r="F2" s="1324"/>
      <c r="G2" s="1324"/>
      <c r="H2" s="1324"/>
      <c r="I2" s="1324"/>
      <c r="J2" s="1324"/>
      <c r="K2" s="1325"/>
      <c r="L2" s="60"/>
      <c r="M2" s="60"/>
      <c r="N2" s="60"/>
      <c r="O2" s="60"/>
      <c r="P2" s="60"/>
      <c r="Q2" s="60"/>
      <c r="R2" s="60"/>
      <c r="S2" s="60"/>
      <c r="T2" s="60"/>
    </row>
    <row r="3" spans="1:20" s="68" customFormat="1" ht="13">
      <c r="A3" s="1314" t="s">
        <v>371</v>
      </c>
      <c r="B3" s="1315"/>
      <c r="C3" s="1315"/>
      <c r="D3" s="1315"/>
      <c r="E3" s="1315"/>
      <c r="F3" s="1315"/>
      <c r="G3" s="1315"/>
      <c r="H3" s="1315"/>
      <c r="I3" s="1315"/>
      <c r="J3" s="1315"/>
      <c r="K3" s="1316"/>
      <c r="L3" s="60"/>
      <c r="M3" s="60"/>
      <c r="N3" s="60"/>
      <c r="O3" s="60"/>
      <c r="P3" s="60"/>
      <c r="Q3" s="60"/>
      <c r="R3" s="60"/>
      <c r="S3" s="60"/>
      <c r="T3" s="60"/>
    </row>
    <row r="4" spans="1:20" s="68" customFormat="1" ht="15" customHeight="1">
      <c r="A4" s="1314" t="s">
        <v>353</v>
      </c>
      <c r="B4" s="1315"/>
      <c r="C4" s="1315"/>
      <c r="D4" s="1315"/>
      <c r="E4" s="1315"/>
      <c r="F4" s="1315"/>
      <c r="G4" s="1315"/>
      <c r="H4" s="1315"/>
      <c r="I4" s="1315"/>
      <c r="J4" s="1315"/>
      <c r="K4" s="1316"/>
      <c r="L4" s="72"/>
      <c r="M4" s="60"/>
      <c r="N4" s="60"/>
      <c r="O4" s="60"/>
      <c r="P4" s="60"/>
      <c r="Q4" s="60"/>
      <c r="R4" s="60"/>
      <c r="S4" s="60"/>
      <c r="T4" s="60"/>
    </row>
    <row r="5" spans="1:20" s="68" customFormat="1" ht="15.75" customHeight="1" thickBot="1">
      <c r="A5" s="1317" t="s">
        <v>390</v>
      </c>
      <c r="B5" s="1318"/>
      <c r="C5" s="1318"/>
      <c r="D5" s="1318"/>
      <c r="E5" s="1318"/>
      <c r="F5" s="1318"/>
      <c r="G5" s="1318"/>
      <c r="H5" s="1318"/>
      <c r="I5" s="1318"/>
      <c r="J5" s="1318"/>
      <c r="K5" s="1319"/>
      <c r="L5" s="72"/>
      <c r="M5" s="60"/>
      <c r="N5" s="60"/>
      <c r="O5" s="60"/>
      <c r="P5" s="60"/>
      <c r="Q5" s="60"/>
      <c r="R5" s="60"/>
      <c r="S5" s="60"/>
      <c r="T5" s="60"/>
    </row>
    <row r="6" spans="1:20" s="69" customFormat="1" ht="26.25" customHeight="1" thickBot="1">
      <c r="A6" s="1303" t="s">
        <v>929</v>
      </c>
      <c r="B6" s="1304"/>
      <c r="C6" s="1304"/>
      <c r="D6" s="1304"/>
      <c r="E6" s="1304"/>
      <c r="F6" s="1304"/>
      <c r="G6" s="1304"/>
      <c r="H6" s="1304"/>
      <c r="I6" s="1304"/>
      <c r="J6" s="1304"/>
      <c r="K6" s="1305"/>
      <c r="L6" s="72"/>
      <c r="M6" s="60"/>
      <c r="N6" s="60"/>
      <c r="O6" s="60"/>
      <c r="P6" s="60"/>
      <c r="Q6" s="60"/>
      <c r="R6" s="60"/>
      <c r="S6" s="60"/>
      <c r="T6" s="60"/>
    </row>
    <row r="7" spans="1:20" s="68" customFormat="1" ht="15" customHeight="1">
      <c r="A7" s="70" t="s">
        <v>354</v>
      </c>
      <c r="B7" s="1326" t="s">
        <v>973</v>
      </c>
      <c r="C7" s="1326"/>
      <c r="D7" s="1326"/>
      <c r="E7" s="1326"/>
      <c r="F7" s="1326"/>
      <c r="G7" s="1326"/>
      <c r="H7" s="1326"/>
      <c r="I7" s="1326"/>
      <c r="J7" s="1326"/>
      <c r="K7" s="1327"/>
      <c r="L7" s="72"/>
      <c r="M7" s="60"/>
      <c r="N7" s="60"/>
      <c r="O7" s="60"/>
      <c r="P7" s="60"/>
      <c r="Q7" s="60"/>
      <c r="R7" s="60"/>
      <c r="S7" s="60"/>
      <c r="T7" s="60"/>
    </row>
    <row r="8" spans="1:20" s="68" customFormat="1" ht="15" customHeight="1">
      <c r="A8" s="70" t="s">
        <v>355</v>
      </c>
      <c r="B8" s="1328" t="s">
        <v>356</v>
      </c>
      <c r="C8" s="1328"/>
      <c r="D8" s="1328"/>
      <c r="E8" s="1328"/>
      <c r="F8" s="1328"/>
      <c r="G8" s="1328"/>
      <c r="H8" s="1328"/>
      <c r="I8" s="1328"/>
      <c r="J8" s="1328"/>
      <c r="K8" s="1329"/>
      <c r="L8" s="72"/>
      <c r="M8" s="60"/>
      <c r="N8" s="60"/>
      <c r="O8" s="60"/>
      <c r="P8" s="60"/>
      <c r="Q8" s="60"/>
      <c r="R8" s="60"/>
      <c r="S8" s="60"/>
      <c r="T8" s="60"/>
    </row>
    <row r="9" spans="1:20" s="68" customFormat="1" ht="15" customHeight="1">
      <c r="A9" s="1332">
        <v>18</v>
      </c>
      <c r="B9" s="1333"/>
      <c r="C9" s="1328" t="s">
        <v>516</v>
      </c>
      <c r="D9" s="1328"/>
      <c r="E9" s="1328"/>
      <c r="F9" s="1328"/>
      <c r="G9" s="1328"/>
      <c r="H9" s="1328"/>
      <c r="I9" s="1328"/>
      <c r="J9" s="1328"/>
      <c r="K9" s="1329"/>
      <c r="L9" s="72"/>
      <c r="M9" s="60"/>
      <c r="N9" s="60"/>
      <c r="O9" s="60"/>
      <c r="P9" s="60"/>
      <c r="Q9" s="60"/>
      <c r="R9" s="60"/>
      <c r="S9" s="60"/>
      <c r="T9" s="60"/>
    </row>
    <row r="10" spans="1:20" s="68" customFormat="1" ht="27.75" customHeight="1">
      <c r="A10" s="70" t="s">
        <v>357</v>
      </c>
      <c r="B10" s="1294" t="s">
        <v>999</v>
      </c>
      <c r="C10" s="1294"/>
      <c r="D10" s="1294"/>
      <c r="E10" s="1294"/>
      <c r="F10" s="1294"/>
      <c r="G10" s="1294"/>
      <c r="H10" s="1294"/>
      <c r="I10" s="1294"/>
      <c r="J10" s="1294"/>
      <c r="K10" s="1295"/>
      <c r="L10" s="72"/>
      <c r="M10" s="60"/>
      <c r="N10" s="60"/>
      <c r="O10" s="60"/>
      <c r="P10" s="60"/>
      <c r="Q10" s="60"/>
      <c r="R10" s="60"/>
      <c r="S10" s="60"/>
      <c r="T10" s="60"/>
    </row>
    <row r="11" spans="1:20" s="68" customFormat="1" ht="13">
      <c r="A11" s="70" t="s">
        <v>373</v>
      </c>
      <c r="B11" s="1294" t="s">
        <v>517</v>
      </c>
      <c r="C11" s="1294"/>
      <c r="D11" s="1294"/>
      <c r="E11" s="1294"/>
      <c r="F11" s="1294"/>
      <c r="G11" s="1294"/>
      <c r="H11" s="1294"/>
      <c r="I11" s="1294"/>
      <c r="J11" s="1294"/>
      <c r="K11" s="1295"/>
      <c r="L11" s="72"/>
      <c r="M11" s="60"/>
      <c r="N11" s="60"/>
      <c r="O11" s="60"/>
      <c r="P11" s="60"/>
      <c r="Q11" s="60"/>
      <c r="R11" s="60"/>
      <c r="S11" s="60"/>
      <c r="T11" s="60"/>
    </row>
    <row r="12" spans="1:20" s="68" customFormat="1" ht="26.25" customHeight="1">
      <c r="A12" s="70" t="s">
        <v>359</v>
      </c>
      <c r="B12" s="1294" t="s">
        <v>518</v>
      </c>
      <c r="C12" s="1294"/>
      <c r="D12" s="1294"/>
      <c r="E12" s="1294"/>
      <c r="F12" s="1294"/>
      <c r="G12" s="1294"/>
      <c r="H12" s="1294"/>
      <c r="I12" s="1294"/>
      <c r="J12" s="1294"/>
      <c r="K12" s="1295"/>
      <c r="L12" s="72"/>
      <c r="M12" s="60"/>
      <c r="N12" s="60"/>
      <c r="O12" s="60"/>
      <c r="P12" s="60"/>
      <c r="Q12" s="60"/>
      <c r="R12" s="60"/>
      <c r="S12" s="60"/>
      <c r="T12" s="60"/>
    </row>
    <row r="13" spans="1:20" s="68" customFormat="1" ht="26.25" customHeight="1">
      <c r="A13" s="70" t="s">
        <v>374</v>
      </c>
      <c r="B13" s="1294" t="s">
        <v>372</v>
      </c>
      <c r="C13" s="1294"/>
      <c r="D13" s="1294"/>
      <c r="E13" s="1294"/>
      <c r="F13" s="1294"/>
      <c r="G13" s="1294"/>
      <c r="H13" s="1294"/>
      <c r="I13" s="1294"/>
      <c r="J13" s="1294"/>
      <c r="K13" s="1295"/>
      <c r="L13" s="60"/>
      <c r="M13" s="60"/>
      <c r="N13" s="60"/>
      <c r="O13" s="60"/>
      <c r="P13" s="60"/>
      <c r="Q13" s="60"/>
      <c r="R13" s="60"/>
      <c r="S13" s="60"/>
      <c r="T13" s="60"/>
    </row>
    <row r="14" spans="1:20" s="68" customFormat="1" ht="37.5" customHeight="1">
      <c r="A14" s="70" t="s">
        <v>362</v>
      </c>
      <c r="B14" s="1294" t="s">
        <v>1133</v>
      </c>
      <c r="C14" s="1294"/>
      <c r="D14" s="1294"/>
      <c r="E14" s="1294"/>
      <c r="F14" s="1294"/>
      <c r="G14" s="1294"/>
      <c r="H14" s="1294"/>
      <c r="I14" s="1294"/>
      <c r="J14" s="1294"/>
      <c r="K14" s="1295"/>
      <c r="L14" s="60"/>
      <c r="M14" s="60"/>
      <c r="N14" s="60"/>
      <c r="O14" s="60"/>
      <c r="P14" s="60"/>
      <c r="Q14" s="60"/>
      <c r="R14" s="60"/>
      <c r="S14" s="60"/>
      <c r="T14" s="60"/>
    </row>
    <row r="15" spans="1:20" s="68" customFormat="1" ht="25.5" customHeight="1" thickBot="1">
      <c r="A15" s="70" t="s">
        <v>364</v>
      </c>
      <c r="B15" s="1294" t="s">
        <v>391</v>
      </c>
      <c r="C15" s="1294"/>
      <c r="D15" s="1294"/>
      <c r="E15" s="1294"/>
      <c r="F15" s="1294"/>
      <c r="G15" s="1294"/>
      <c r="H15" s="1294"/>
      <c r="I15" s="1294"/>
      <c r="J15" s="1294"/>
      <c r="K15" s="1295"/>
      <c r="L15" s="72"/>
      <c r="M15" s="60"/>
      <c r="N15" s="60"/>
      <c r="O15" s="60"/>
      <c r="P15" s="60"/>
      <c r="Q15" s="60"/>
      <c r="R15" s="60"/>
      <c r="S15" s="60"/>
      <c r="T15" s="60"/>
    </row>
    <row r="16" spans="1:20" s="68" customFormat="1" ht="15" customHeight="1" thickBot="1">
      <c r="A16" s="1303" t="s">
        <v>334</v>
      </c>
      <c r="B16" s="1304"/>
      <c r="C16" s="1304"/>
      <c r="D16" s="1304"/>
      <c r="E16" s="1304"/>
      <c r="F16" s="1304"/>
      <c r="G16" s="1304"/>
      <c r="H16" s="1304"/>
      <c r="I16" s="1304"/>
      <c r="J16" s="1304"/>
      <c r="K16" s="1305"/>
      <c r="L16" s="72"/>
      <c r="M16" s="60"/>
      <c r="N16" s="60"/>
      <c r="O16" s="60"/>
      <c r="P16" s="60"/>
      <c r="Q16" s="60"/>
      <c r="R16" s="60"/>
      <c r="S16" s="60"/>
      <c r="T16" s="60"/>
    </row>
    <row r="17" spans="1:20" s="68" customFormat="1" ht="13">
      <c r="A17" s="79" t="s">
        <v>365</v>
      </c>
      <c r="B17" s="1306" t="s">
        <v>995</v>
      </c>
      <c r="C17" s="1306"/>
      <c r="D17" s="1306"/>
      <c r="E17" s="1306"/>
      <c r="F17" s="1306"/>
      <c r="G17" s="1306"/>
      <c r="H17" s="1306"/>
      <c r="I17" s="1306"/>
      <c r="J17" s="1306"/>
      <c r="K17" s="1307"/>
      <c r="L17" s="72"/>
      <c r="M17" s="60"/>
      <c r="N17" s="60"/>
      <c r="O17" s="60"/>
      <c r="P17" s="60"/>
      <c r="Q17" s="60"/>
      <c r="R17" s="60"/>
      <c r="S17" s="60"/>
      <c r="T17" s="60"/>
    </row>
    <row r="18" spans="1:20" s="68" customFormat="1" ht="13.5" thickBot="1">
      <c r="A18" s="141" t="s">
        <v>366</v>
      </c>
      <c r="B18" s="1330" t="s">
        <v>996</v>
      </c>
      <c r="C18" s="1330"/>
      <c r="D18" s="1330"/>
      <c r="E18" s="1330"/>
      <c r="F18" s="1330"/>
      <c r="G18" s="1330"/>
      <c r="H18" s="1330"/>
      <c r="I18" s="1330"/>
      <c r="J18" s="1330"/>
      <c r="K18" s="1331"/>
      <c r="L18" s="72"/>
      <c r="M18" s="60"/>
      <c r="N18" s="60"/>
      <c r="O18" s="60"/>
      <c r="P18" s="60"/>
      <c r="Q18" s="60"/>
      <c r="R18" s="60"/>
      <c r="S18" s="60"/>
      <c r="T18" s="60"/>
    </row>
    <row r="19" spans="1:20" s="68" customFormat="1" ht="15" customHeight="1" thickBot="1">
      <c r="A19" s="1303" t="s">
        <v>335</v>
      </c>
      <c r="B19" s="1304"/>
      <c r="C19" s="1304"/>
      <c r="D19" s="1304"/>
      <c r="E19" s="1304"/>
      <c r="F19" s="1304"/>
      <c r="G19" s="1304"/>
      <c r="H19" s="1304"/>
      <c r="I19" s="1304"/>
      <c r="J19" s="1304"/>
      <c r="K19" s="1305"/>
      <c r="L19" s="72"/>
      <c r="M19" s="60"/>
      <c r="N19" s="60"/>
      <c r="O19" s="60"/>
      <c r="P19" s="60"/>
      <c r="Q19" s="60"/>
      <c r="R19" s="60"/>
      <c r="S19" s="60"/>
      <c r="T19" s="60"/>
    </row>
    <row r="20" spans="1:20" s="68" customFormat="1" ht="27" customHeight="1">
      <c r="A20" s="70" t="s">
        <v>367</v>
      </c>
      <c r="B20" s="1294" t="s">
        <v>519</v>
      </c>
      <c r="C20" s="1294"/>
      <c r="D20" s="1294"/>
      <c r="E20" s="1294"/>
      <c r="F20" s="1294"/>
      <c r="G20" s="1294"/>
      <c r="H20" s="1294"/>
      <c r="I20" s="1294"/>
      <c r="J20" s="1294"/>
      <c r="K20" s="1295"/>
      <c r="L20" s="72"/>
      <c r="M20" s="60"/>
      <c r="N20" s="60"/>
      <c r="O20" s="60"/>
      <c r="P20" s="60"/>
      <c r="Q20" s="60"/>
      <c r="R20" s="60"/>
      <c r="S20" s="60"/>
      <c r="T20" s="60"/>
    </row>
    <row r="21" spans="1:20" s="68" customFormat="1" ht="13">
      <c r="A21" s="70" t="s">
        <v>368</v>
      </c>
      <c r="B21" s="1294" t="s">
        <v>520</v>
      </c>
      <c r="C21" s="1294"/>
      <c r="D21" s="1294"/>
      <c r="E21" s="1294"/>
      <c r="F21" s="1294"/>
      <c r="G21" s="1294"/>
      <c r="H21" s="1294"/>
      <c r="I21" s="1294"/>
      <c r="J21" s="1294"/>
      <c r="K21" s="1295"/>
      <c r="L21" s="72"/>
      <c r="M21" s="60"/>
      <c r="N21" s="60"/>
      <c r="O21" s="60"/>
      <c r="P21" s="60"/>
      <c r="Q21" s="60"/>
      <c r="R21" s="60"/>
      <c r="S21" s="60"/>
      <c r="T21" s="60"/>
    </row>
    <row r="22" spans="1:20" s="68" customFormat="1" ht="39" customHeight="1">
      <c r="A22" s="70"/>
      <c r="B22" s="1294" t="s">
        <v>521</v>
      </c>
      <c r="C22" s="1294"/>
      <c r="D22" s="1294"/>
      <c r="E22" s="1294"/>
      <c r="F22" s="1294"/>
      <c r="G22" s="1294"/>
      <c r="H22" s="1294"/>
      <c r="I22" s="1294"/>
      <c r="J22" s="1294"/>
      <c r="K22" s="1295"/>
      <c r="L22" s="72"/>
      <c r="M22" s="60"/>
      <c r="N22" s="60"/>
      <c r="O22" s="60"/>
      <c r="P22" s="60"/>
      <c r="Q22" s="60"/>
      <c r="R22" s="60"/>
      <c r="S22" s="60"/>
      <c r="T22" s="60"/>
    </row>
    <row r="23" spans="1:20" s="68" customFormat="1" ht="26.25" customHeight="1" thickBot="1">
      <c r="A23" s="70"/>
      <c r="B23" s="1294" t="s">
        <v>522</v>
      </c>
      <c r="C23" s="1294"/>
      <c r="D23" s="1294"/>
      <c r="E23" s="1294"/>
      <c r="F23" s="1294"/>
      <c r="G23" s="1294"/>
      <c r="H23" s="1294"/>
      <c r="I23" s="1294"/>
      <c r="J23" s="1294"/>
      <c r="K23" s="1295"/>
      <c r="L23" s="71"/>
      <c r="M23" s="60"/>
      <c r="N23" s="60"/>
      <c r="O23" s="60"/>
      <c r="P23" s="60"/>
      <c r="Q23" s="60"/>
      <c r="R23" s="60"/>
      <c r="S23" s="60"/>
      <c r="T23" s="60"/>
    </row>
    <row r="24" spans="1:20" s="68" customFormat="1" ht="15" customHeight="1" thickBot="1">
      <c r="A24" s="1303" t="s">
        <v>361</v>
      </c>
      <c r="B24" s="1304"/>
      <c r="C24" s="1304"/>
      <c r="D24" s="1304"/>
      <c r="E24" s="1304"/>
      <c r="F24" s="1304"/>
      <c r="G24" s="1304"/>
      <c r="H24" s="1304"/>
      <c r="I24" s="1304"/>
      <c r="J24" s="1304"/>
      <c r="K24" s="1305"/>
      <c r="L24" s="73"/>
      <c r="M24" s="60"/>
      <c r="N24" s="60"/>
      <c r="O24" s="60"/>
      <c r="P24" s="60"/>
      <c r="Q24" s="60"/>
      <c r="R24" s="60"/>
      <c r="S24" s="60"/>
      <c r="T24" s="60"/>
    </row>
    <row r="25" spans="1:20" s="68" customFormat="1" ht="26.25" customHeight="1">
      <c r="A25" s="1308" t="s">
        <v>375</v>
      </c>
      <c r="B25" s="1294" t="s">
        <v>997</v>
      </c>
      <c r="C25" s="1294"/>
      <c r="D25" s="1294"/>
      <c r="E25" s="1294"/>
      <c r="F25" s="1294"/>
      <c r="G25" s="1294"/>
      <c r="H25" s="1294"/>
      <c r="I25" s="1294"/>
      <c r="J25" s="1294"/>
      <c r="K25" s="1295"/>
      <c r="L25" s="71"/>
      <c r="M25" s="60"/>
      <c r="N25" s="60"/>
      <c r="O25" s="60"/>
      <c r="P25" s="60"/>
      <c r="Q25" s="60"/>
      <c r="R25" s="60"/>
      <c r="S25" s="60"/>
      <c r="T25" s="60"/>
    </row>
    <row r="26" spans="1:20" s="68" customFormat="1" ht="13">
      <c r="A26" s="1309"/>
      <c r="B26" s="1294" t="s">
        <v>523</v>
      </c>
      <c r="C26" s="1294"/>
      <c r="D26" s="1294"/>
      <c r="E26" s="1294"/>
      <c r="F26" s="1294"/>
      <c r="G26" s="1294"/>
      <c r="H26" s="1294"/>
      <c r="I26" s="1294"/>
      <c r="J26" s="1294"/>
      <c r="K26" s="1295"/>
      <c r="L26" s="73"/>
      <c r="M26" s="60"/>
      <c r="N26" s="60"/>
      <c r="O26" s="60"/>
      <c r="P26" s="60"/>
      <c r="Q26" s="60"/>
      <c r="R26" s="60"/>
      <c r="S26" s="60"/>
      <c r="T26" s="60"/>
    </row>
    <row r="27" spans="1:20" s="68" customFormat="1" ht="13">
      <c r="A27" s="1309"/>
      <c r="B27" s="1294" t="s">
        <v>524</v>
      </c>
      <c r="C27" s="1294"/>
      <c r="D27" s="1294"/>
      <c r="E27" s="1294"/>
      <c r="F27" s="1294"/>
      <c r="G27" s="1294"/>
      <c r="H27" s="1294"/>
      <c r="I27" s="1294"/>
      <c r="J27" s="1294"/>
      <c r="K27" s="1295"/>
      <c r="L27" s="73"/>
      <c r="M27" s="60"/>
      <c r="N27" s="60"/>
      <c r="O27" s="60"/>
      <c r="P27" s="60"/>
      <c r="Q27" s="60"/>
      <c r="R27" s="60"/>
      <c r="S27" s="60"/>
      <c r="T27" s="60"/>
    </row>
    <row r="28" spans="1:20" s="68" customFormat="1" ht="13">
      <c r="A28" s="1309"/>
      <c r="B28" s="1294" t="s">
        <v>525</v>
      </c>
      <c r="C28" s="1294"/>
      <c r="D28" s="1294"/>
      <c r="E28" s="1294"/>
      <c r="F28" s="1294"/>
      <c r="G28" s="1294"/>
      <c r="H28" s="1294"/>
      <c r="I28" s="1294"/>
      <c r="J28" s="1294"/>
      <c r="K28" s="1295"/>
      <c r="L28" s="73"/>
      <c r="M28" s="60"/>
      <c r="N28" s="60"/>
      <c r="O28" s="60"/>
      <c r="P28" s="60"/>
      <c r="Q28" s="60"/>
      <c r="R28" s="60"/>
      <c r="S28" s="60"/>
      <c r="T28" s="60"/>
    </row>
    <row r="29" spans="1:20" s="68" customFormat="1" ht="13">
      <c r="A29" s="1309"/>
      <c r="B29" s="1294" t="s">
        <v>526</v>
      </c>
      <c r="C29" s="1294"/>
      <c r="D29" s="1294"/>
      <c r="E29" s="1294"/>
      <c r="F29" s="1294"/>
      <c r="G29" s="1294"/>
      <c r="H29" s="1294"/>
      <c r="I29" s="1294"/>
      <c r="J29" s="1294"/>
      <c r="K29" s="1295"/>
      <c r="L29" s="73"/>
      <c r="M29" s="60"/>
      <c r="N29" s="60"/>
      <c r="O29" s="60"/>
      <c r="P29" s="60"/>
      <c r="Q29" s="60"/>
      <c r="R29" s="60"/>
      <c r="S29" s="60"/>
      <c r="T29" s="60"/>
    </row>
    <row r="30" spans="1:20" s="68" customFormat="1" ht="13">
      <c r="A30" s="1309"/>
      <c r="B30" s="1294" t="s">
        <v>527</v>
      </c>
      <c r="C30" s="1294"/>
      <c r="D30" s="1294"/>
      <c r="E30" s="1294"/>
      <c r="F30" s="1294"/>
      <c r="G30" s="1294"/>
      <c r="H30" s="1294"/>
      <c r="I30" s="1294"/>
      <c r="J30" s="1294"/>
      <c r="K30" s="1295"/>
      <c r="L30" s="73"/>
      <c r="M30" s="60"/>
      <c r="N30" s="60"/>
      <c r="O30" s="60"/>
      <c r="P30" s="60"/>
      <c r="Q30" s="60"/>
      <c r="R30" s="60"/>
      <c r="S30" s="60"/>
      <c r="T30" s="60"/>
    </row>
    <row r="31" spans="1:20" s="68" customFormat="1" ht="13">
      <c r="A31" s="1309"/>
      <c r="B31" s="1294" t="s">
        <v>528</v>
      </c>
      <c r="C31" s="1294"/>
      <c r="D31" s="1294"/>
      <c r="E31" s="1294"/>
      <c r="F31" s="1294"/>
      <c r="G31" s="1294"/>
      <c r="H31" s="1294"/>
      <c r="I31" s="1294"/>
      <c r="J31" s="1294"/>
      <c r="K31" s="1295"/>
      <c r="L31" s="73"/>
      <c r="M31" s="60"/>
      <c r="N31" s="60"/>
      <c r="O31" s="60"/>
      <c r="P31" s="60"/>
      <c r="Q31" s="60"/>
      <c r="R31" s="60"/>
      <c r="S31" s="60"/>
      <c r="T31" s="60"/>
    </row>
    <row r="32" spans="1:20" s="68" customFormat="1" ht="13">
      <c r="A32" s="1309"/>
      <c r="B32" s="1294" t="s">
        <v>529</v>
      </c>
      <c r="C32" s="1294"/>
      <c r="D32" s="1294"/>
      <c r="E32" s="1294"/>
      <c r="F32" s="1294"/>
      <c r="G32" s="1294"/>
      <c r="H32" s="1294"/>
      <c r="I32" s="1294"/>
      <c r="J32" s="1294"/>
      <c r="K32" s="1295"/>
      <c r="L32" s="73"/>
      <c r="M32" s="60"/>
      <c r="N32" s="60"/>
      <c r="O32" s="60"/>
      <c r="P32" s="60"/>
      <c r="Q32" s="60"/>
      <c r="R32" s="60"/>
      <c r="S32" s="60"/>
      <c r="T32" s="60"/>
    </row>
    <row r="33" spans="1:21" s="68" customFormat="1" ht="39" customHeight="1">
      <c r="A33" s="1309" t="s">
        <v>376</v>
      </c>
      <c r="B33" s="1294" t="s">
        <v>998</v>
      </c>
      <c r="C33" s="1294"/>
      <c r="D33" s="1294"/>
      <c r="E33" s="1294"/>
      <c r="F33" s="1294"/>
      <c r="G33" s="1294"/>
      <c r="H33" s="1294"/>
      <c r="I33" s="1294"/>
      <c r="J33" s="1294"/>
      <c r="K33" s="1295"/>
      <c r="L33" s="71"/>
      <c r="M33" s="60"/>
      <c r="N33" s="60"/>
      <c r="O33" s="60"/>
      <c r="P33" s="60"/>
      <c r="Q33" s="60"/>
      <c r="R33" s="60"/>
      <c r="S33" s="60"/>
      <c r="T33" s="60"/>
    </row>
    <row r="34" spans="1:21" s="68" customFormat="1" ht="13">
      <c r="A34" s="1309"/>
      <c r="B34" s="1300" t="s">
        <v>524</v>
      </c>
      <c r="C34" s="1300"/>
      <c r="D34" s="1300"/>
      <c r="E34" s="1300"/>
      <c r="F34" s="1300"/>
      <c r="G34" s="1300"/>
      <c r="H34" s="1300"/>
      <c r="I34" s="1300"/>
      <c r="J34" s="1300"/>
      <c r="K34" s="1301"/>
      <c r="L34" s="73"/>
      <c r="M34" s="60"/>
      <c r="N34" s="60"/>
      <c r="O34" s="60"/>
      <c r="P34" s="60"/>
      <c r="Q34" s="60"/>
      <c r="R34" s="60"/>
      <c r="S34" s="60"/>
      <c r="T34" s="60"/>
    </row>
    <row r="35" spans="1:21" s="68" customFormat="1" ht="13">
      <c r="A35" s="1309"/>
      <c r="B35" s="1300" t="s">
        <v>525</v>
      </c>
      <c r="C35" s="1300"/>
      <c r="D35" s="1300"/>
      <c r="E35" s="1300"/>
      <c r="F35" s="1300"/>
      <c r="G35" s="1300"/>
      <c r="H35" s="1300"/>
      <c r="I35" s="1300"/>
      <c r="J35" s="1300"/>
      <c r="K35" s="1301"/>
      <c r="L35" s="73"/>
      <c r="M35" s="60"/>
      <c r="N35" s="60"/>
      <c r="O35" s="60"/>
      <c r="P35" s="60"/>
      <c r="Q35" s="60"/>
      <c r="R35" s="60"/>
      <c r="S35" s="60"/>
      <c r="T35" s="60"/>
    </row>
    <row r="36" spans="1:21" s="68" customFormat="1" ht="13">
      <c r="A36" s="1309"/>
      <c r="B36" s="1300" t="s">
        <v>530</v>
      </c>
      <c r="C36" s="1300"/>
      <c r="D36" s="1300"/>
      <c r="E36" s="1300"/>
      <c r="F36" s="1300"/>
      <c r="G36" s="1300"/>
      <c r="H36" s="1300"/>
      <c r="I36" s="1300"/>
      <c r="J36" s="1300"/>
      <c r="K36" s="1301"/>
      <c r="L36" s="73"/>
      <c r="M36" s="60"/>
      <c r="N36" s="60"/>
      <c r="O36" s="60"/>
      <c r="P36" s="60"/>
      <c r="Q36" s="60"/>
      <c r="R36" s="60"/>
      <c r="S36" s="60"/>
      <c r="T36" s="60"/>
    </row>
    <row r="37" spans="1:21" s="68" customFormat="1" ht="13">
      <c r="A37" s="1309"/>
      <c r="B37" s="1300" t="s">
        <v>531</v>
      </c>
      <c r="C37" s="1300"/>
      <c r="D37" s="1300"/>
      <c r="E37" s="1300"/>
      <c r="F37" s="1300"/>
      <c r="G37" s="1300"/>
      <c r="H37" s="1300"/>
      <c r="I37" s="1300"/>
      <c r="J37" s="1300"/>
      <c r="K37" s="1301"/>
      <c r="L37" s="73"/>
      <c r="M37" s="60"/>
      <c r="N37" s="60"/>
      <c r="O37" s="60"/>
      <c r="P37" s="60"/>
      <c r="Q37" s="60"/>
      <c r="R37" s="60"/>
      <c r="S37" s="60"/>
      <c r="T37" s="60"/>
    </row>
    <row r="38" spans="1:21" s="68" customFormat="1" ht="13">
      <c r="A38" s="1309"/>
      <c r="B38" s="1300" t="s">
        <v>528</v>
      </c>
      <c r="C38" s="1300"/>
      <c r="D38" s="1300"/>
      <c r="E38" s="1300"/>
      <c r="F38" s="1300"/>
      <c r="G38" s="1300"/>
      <c r="H38" s="1300"/>
      <c r="I38" s="1300"/>
      <c r="J38" s="1300"/>
      <c r="K38" s="1301"/>
      <c r="L38" s="73"/>
      <c r="M38" s="60"/>
      <c r="N38" s="60"/>
      <c r="O38" s="60"/>
      <c r="P38" s="60"/>
      <c r="Q38" s="60"/>
      <c r="R38" s="60"/>
      <c r="S38" s="60"/>
      <c r="T38" s="60"/>
    </row>
    <row r="39" spans="1:21" s="68" customFormat="1" ht="13">
      <c r="A39" s="1309"/>
      <c r="B39" s="1300" t="s">
        <v>528</v>
      </c>
      <c r="C39" s="1300"/>
      <c r="D39" s="1300"/>
      <c r="E39" s="1300"/>
      <c r="F39" s="1300"/>
      <c r="G39" s="1300"/>
      <c r="H39" s="1300"/>
      <c r="I39" s="1300"/>
      <c r="J39" s="1300"/>
      <c r="K39" s="1301"/>
      <c r="L39" s="73"/>
      <c r="M39" s="60"/>
      <c r="N39" s="60"/>
      <c r="O39" s="60"/>
      <c r="P39" s="60"/>
      <c r="Q39" s="60"/>
      <c r="R39" s="60"/>
      <c r="S39" s="60"/>
      <c r="T39" s="60"/>
    </row>
    <row r="40" spans="1:21" s="68" customFormat="1" ht="13">
      <c r="A40" s="1309"/>
      <c r="B40" s="1300" t="s">
        <v>532</v>
      </c>
      <c r="C40" s="1300"/>
      <c r="D40" s="1300"/>
      <c r="E40" s="1300"/>
      <c r="F40" s="1300"/>
      <c r="G40" s="1300"/>
      <c r="H40" s="1300"/>
      <c r="I40" s="1300"/>
      <c r="J40" s="1300"/>
      <c r="K40" s="1301"/>
      <c r="L40" s="73"/>
      <c r="M40" s="60"/>
      <c r="N40" s="60"/>
      <c r="O40" s="60"/>
      <c r="P40" s="60"/>
      <c r="Q40" s="60"/>
      <c r="R40" s="60"/>
      <c r="S40" s="60"/>
      <c r="T40" s="60"/>
    </row>
    <row r="41" spans="1:21" s="68" customFormat="1" ht="27" customHeight="1">
      <c r="A41" s="1309" t="s">
        <v>377</v>
      </c>
      <c r="B41" s="1294" t="s">
        <v>1134</v>
      </c>
      <c r="C41" s="1294"/>
      <c r="D41" s="1294"/>
      <c r="E41" s="1294"/>
      <c r="F41" s="1294"/>
      <c r="G41" s="1294"/>
      <c r="H41" s="1294"/>
      <c r="I41" s="1294"/>
      <c r="J41" s="1294"/>
      <c r="K41" s="1295"/>
      <c r="L41" s="73"/>
      <c r="M41" s="60"/>
      <c r="N41" s="60"/>
      <c r="O41" s="60"/>
      <c r="P41" s="60"/>
      <c r="Q41" s="60"/>
      <c r="R41" s="60"/>
      <c r="S41" s="60"/>
      <c r="T41" s="60"/>
    </row>
    <row r="42" spans="1:21" s="68" customFormat="1" ht="13.5" thickBot="1">
      <c r="A42" s="1313"/>
      <c r="B42" s="1294" t="s">
        <v>533</v>
      </c>
      <c r="C42" s="1294"/>
      <c r="D42" s="1294"/>
      <c r="E42" s="1294"/>
      <c r="F42" s="1294"/>
      <c r="G42" s="1294"/>
      <c r="H42" s="1294"/>
      <c r="I42" s="1294"/>
      <c r="J42" s="1294"/>
      <c r="K42" s="1295"/>
      <c r="L42" s="73"/>
      <c r="M42" s="71"/>
      <c r="N42" s="60"/>
      <c r="O42" s="60"/>
      <c r="P42" s="60"/>
      <c r="Q42" s="60"/>
      <c r="R42" s="60"/>
      <c r="S42" s="60"/>
      <c r="T42" s="60"/>
      <c r="U42" s="60"/>
    </row>
    <row r="43" spans="1:21" s="68" customFormat="1" ht="15" customHeight="1" thickBot="1">
      <c r="A43" s="1310" t="s">
        <v>337</v>
      </c>
      <c r="B43" s="1311"/>
      <c r="C43" s="1311"/>
      <c r="D43" s="1311"/>
      <c r="E43" s="1311"/>
      <c r="F43" s="1311"/>
      <c r="G43" s="1311"/>
      <c r="H43" s="1311"/>
      <c r="I43" s="1311"/>
      <c r="J43" s="1311"/>
      <c r="K43" s="1312"/>
      <c r="L43" s="72"/>
      <c r="M43" s="60"/>
      <c r="N43" s="60"/>
      <c r="O43" s="60"/>
      <c r="P43" s="60"/>
      <c r="Q43" s="60"/>
      <c r="R43" s="60"/>
      <c r="S43" s="60"/>
      <c r="T43" s="60"/>
    </row>
    <row r="44" spans="1:21" s="68" customFormat="1" ht="24.75" customHeight="1">
      <c r="A44" s="141" t="s">
        <v>378</v>
      </c>
      <c r="B44" s="1294" t="s">
        <v>534</v>
      </c>
      <c r="C44" s="1294"/>
      <c r="D44" s="1294"/>
      <c r="E44" s="1294"/>
      <c r="F44" s="1294"/>
      <c r="G44" s="1294"/>
      <c r="H44" s="1294"/>
      <c r="I44" s="1294"/>
      <c r="J44" s="1294"/>
      <c r="K44" s="1295"/>
      <c r="L44" s="71"/>
      <c r="M44" s="60"/>
      <c r="N44" s="60"/>
      <c r="O44" s="60"/>
      <c r="P44" s="60"/>
      <c r="Q44" s="60"/>
      <c r="R44" s="60"/>
      <c r="S44" s="60"/>
      <c r="T44" s="60"/>
    </row>
    <row r="45" spans="1:21" s="68" customFormat="1" ht="25.5" customHeight="1" thickBot="1">
      <c r="A45" s="141" t="s">
        <v>379</v>
      </c>
      <c r="B45" s="1294" t="s">
        <v>930</v>
      </c>
      <c r="C45" s="1294"/>
      <c r="D45" s="1294"/>
      <c r="E45" s="1294"/>
      <c r="F45" s="1294"/>
      <c r="G45" s="1294"/>
      <c r="H45" s="1294"/>
      <c r="I45" s="1294"/>
      <c r="J45" s="1294"/>
      <c r="K45" s="1295"/>
      <c r="L45" s="60"/>
      <c r="M45" s="60"/>
      <c r="N45" s="60"/>
      <c r="O45" s="60"/>
      <c r="P45" s="60"/>
      <c r="Q45" s="60"/>
      <c r="R45" s="60"/>
      <c r="S45" s="60"/>
      <c r="T45" s="60"/>
    </row>
    <row r="46" spans="1:21" s="68" customFormat="1" ht="13">
      <c r="A46" s="1308" t="s">
        <v>380</v>
      </c>
      <c r="B46" s="1306" t="s">
        <v>383</v>
      </c>
      <c r="C46" s="1306"/>
      <c r="D46" s="1306"/>
      <c r="E46" s="1306"/>
      <c r="F46" s="1306"/>
      <c r="G46" s="1306"/>
      <c r="H46" s="1306"/>
      <c r="I46" s="1306"/>
      <c r="J46" s="1306"/>
      <c r="K46" s="1307"/>
      <c r="L46" s="72"/>
      <c r="M46" s="60"/>
      <c r="N46" s="60"/>
      <c r="O46" s="60"/>
      <c r="P46" s="60"/>
      <c r="Q46" s="60"/>
      <c r="R46" s="60"/>
      <c r="S46" s="60"/>
      <c r="T46" s="60"/>
    </row>
    <row r="47" spans="1:21" s="68" customFormat="1" ht="13">
      <c r="A47" s="1309"/>
      <c r="B47" s="1300" t="s">
        <v>535</v>
      </c>
      <c r="C47" s="1300"/>
      <c r="D47" s="1300"/>
      <c r="E47" s="1300"/>
      <c r="F47" s="1300"/>
      <c r="G47" s="1300"/>
      <c r="H47" s="1300"/>
      <c r="I47" s="1300"/>
      <c r="J47" s="1300"/>
      <c r="K47" s="1301"/>
      <c r="L47" s="60"/>
      <c r="M47" s="60"/>
      <c r="N47" s="60"/>
      <c r="O47" s="60"/>
      <c r="P47" s="60"/>
      <c r="Q47" s="60"/>
      <c r="R47" s="60"/>
      <c r="S47" s="60"/>
      <c r="T47" s="60"/>
    </row>
    <row r="48" spans="1:21" s="68" customFormat="1" ht="13">
      <c r="A48" s="1309"/>
      <c r="B48" s="1300" t="s">
        <v>536</v>
      </c>
      <c r="C48" s="1300"/>
      <c r="D48" s="1300"/>
      <c r="E48" s="1300"/>
      <c r="F48" s="1300"/>
      <c r="G48" s="1300"/>
      <c r="H48" s="1300"/>
      <c r="I48" s="1300"/>
      <c r="J48" s="1300"/>
      <c r="K48" s="1301"/>
      <c r="L48" s="60"/>
      <c r="M48" s="60"/>
      <c r="N48" s="60"/>
      <c r="O48" s="60"/>
      <c r="P48" s="60"/>
      <c r="Q48" s="60"/>
      <c r="R48" s="60"/>
      <c r="S48" s="60"/>
      <c r="T48" s="60"/>
    </row>
    <row r="49" spans="1:20" s="68" customFormat="1" ht="26.25" customHeight="1">
      <c r="A49" s="1309"/>
      <c r="B49" s="1300" t="s">
        <v>537</v>
      </c>
      <c r="C49" s="1300"/>
      <c r="D49" s="1300"/>
      <c r="E49" s="1300"/>
      <c r="F49" s="1300"/>
      <c r="G49" s="1300"/>
      <c r="H49" s="1300"/>
      <c r="I49" s="1300"/>
      <c r="J49" s="1300"/>
      <c r="K49" s="1301"/>
      <c r="L49" s="60"/>
      <c r="M49" s="60"/>
      <c r="N49" s="60"/>
      <c r="O49" s="60"/>
      <c r="P49" s="60"/>
      <c r="Q49" s="60"/>
      <c r="R49" s="60"/>
      <c r="S49" s="60"/>
      <c r="T49" s="60"/>
    </row>
    <row r="50" spans="1:20" s="68" customFormat="1" ht="13">
      <c r="A50" s="70" t="s">
        <v>381</v>
      </c>
      <c r="B50" s="1294" t="s">
        <v>1020</v>
      </c>
      <c r="C50" s="1294"/>
      <c r="D50" s="1294"/>
      <c r="E50" s="1294"/>
      <c r="F50" s="1294"/>
      <c r="G50" s="1294"/>
      <c r="H50" s="1294"/>
      <c r="I50" s="1294"/>
      <c r="J50" s="1294"/>
      <c r="K50" s="1295"/>
      <c r="L50" s="60"/>
      <c r="M50" s="60"/>
      <c r="N50" s="60"/>
      <c r="O50" s="60"/>
      <c r="P50" s="60"/>
      <c r="Q50" s="60"/>
      <c r="R50" s="60"/>
      <c r="S50" s="60"/>
      <c r="T50" s="60"/>
    </row>
    <row r="51" spans="1:20" s="68" customFormat="1" ht="26.25" customHeight="1">
      <c r="A51" s="70"/>
      <c r="B51" s="1300" t="s">
        <v>1135</v>
      </c>
      <c r="C51" s="1300"/>
      <c r="D51" s="1300"/>
      <c r="E51" s="1300"/>
      <c r="F51" s="1300"/>
      <c r="G51" s="1300"/>
      <c r="H51" s="1300"/>
      <c r="I51" s="1300"/>
      <c r="J51" s="1300"/>
      <c r="K51" s="1301"/>
      <c r="L51" s="73"/>
      <c r="M51" s="60"/>
      <c r="N51" s="60"/>
      <c r="O51" s="60"/>
      <c r="P51" s="60"/>
      <c r="Q51" s="60"/>
      <c r="R51" s="60"/>
      <c r="S51" s="60"/>
      <c r="T51" s="60"/>
    </row>
    <row r="52" spans="1:20" s="68" customFormat="1" ht="30" customHeight="1">
      <c r="A52" s="70"/>
      <c r="B52" s="1300" t="s">
        <v>1136</v>
      </c>
      <c r="C52" s="1300"/>
      <c r="D52" s="1300"/>
      <c r="E52" s="1300"/>
      <c r="F52" s="1300"/>
      <c r="G52" s="1300"/>
      <c r="H52" s="1300"/>
      <c r="I52" s="1300"/>
      <c r="J52" s="1300"/>
      <c r="K52" s="1301"/>
      <c r="L52" s="73"/>
      <c r="M52" s="60"/>
      <c r="N52" s="60"/>
      <c r="O52" s="60"/>
      <c r="P52" s="60"/>
      <c r="Q52" s="60"/>
      <c r="R52" s="60"/>
      <c r="S52" s="60"/>
      <c r="T52" s="60"/>
    </row>
    <row r="53" spans="1:20" s="68" customFormat="1" ht="26.25" customHeight="1">
      <c r="A53" s="70"/>
      <c r="B53" s="1300" t="s">
        <v>1021</v>
      </c>
      <c r="C53" s="1300"/>
      <c r="D53" s="1300"/>
      <c r="E53" s="1300"/>
      <c r="F53" s="1300"/>
      <c r="G53" s="1300"/>
      <c r="H53" s="1300"/>
      <c r="I53" s="1300"/>
      <c r="J53" s="1300"/>
      <c r="K53" s="1301"/>
      <c r="L53" s="73"/>
      <c r="M53" s="60"/>
      <c r="N53" s="60"/>
      <c r="O53" s="60"/>
      <c r="P53" s="60"/>
      <c r="Q53" s="60"/>
      <c r="R53" s="60"/>
      <c r="S53" s="60"/>
      <c r="T53" s="60"/>
    </row>
    <row r="54" spans="1:20" s="68" customFormat="1" ht="13">
      <c r="A54" s="70"/>
      <c r="B54" s="1300" t="s">
        <v>369</v>
      </c>
      <c r="C54" s="1300"/>
      <c r="D54" s="1300"/>
      <c r="E54" s="1300"/>
      <c r="F54" s="1300"/>
      <c r="G54" s="1300"/>
      <c r="H54" s="1300"/>
      <c r="I54" s="1300"/>
      <c r="J54" s="1300"/>
      <c r="K54" s="1301"/>
      <c r="L54" s="73"/>
      <c r="M54" s="60"/>
      <c r="N54" s="60"/>
      <c r="O54" s="60"/>
      <c r="P54" s="60"/>
      <c r="Q54" s="60"/>
      <c r="R54" s="60"/>
      <c r="S54" s="60"/>
      <c r="T54" s="60"/>
    </row>
    <row r="55" spans="1:20" s="68" customFormat="1" ht="26.25" customHeight="1">
      <c r="A55" s="143" t="s">
        <v>382</v>
      </c>
      <c r="B55" s="1294" t="s">
        <v>538</v>
      </c>
      <c r="C55" s="1294"/>
      <c r="D55" s="1294"/>
      <c r="E55" s="1294"/>
      <c r="F55" s="1294"/>
      <c r="G55" s="1294"/>
      <c r="H55" s="1294"/>
      <c r="I55" s="1294"/>
      <c r="J55" s="1294"/>
      <c r="K55" s="1295"/>
      <c r="L55" s="60"/>
      <c r="M55" s="60"/>
      <c r="N55" s="60"/>
      <c r="O55" s="60"/>
      <c r="P55" s="60"/>
      <c r="Q55" s="60"/>
      <c r="R55" s="60"/>
      <c r="S55" s="60"/>
      <c r="T55" s="60"/>
    </row>
    <row r="56" spans="1:20" s="68" customFormat="1" ht="15" customHeight="1">
      <c r="A56" s="1302" t="s">
        <v>384</v>
      </c>
      <c r="B56" s="1294" t="s">
        <v>539</v>
      </c>
      <c r="C56" s="1294"/>
      <c r="D56" s="1294"/>
      <c r="E56" s="1294"/>
      <c r="F56" s="1294"/>
      <c r="G56" s="1294"/>
      <c r="H56" s="1294"/>
      <c r="I56" s="1294"/>
      <c r="J56" s="1294"/>
      <c r="K56" s="1295"/>
      <c r="L56" s="60"/>
      <c r="M56" s="60"/>
      <c r="N56" s="60"/>
      <c r="O56" s="60"/>
      <c r="P56" s="60"/>
      <c r="Q56" s="60"/>
      <c r="R56" s="60"/>
      <c r="S56" s="60"/>
      <c r="T56" s="60"/>
    </row>
    <row r="57" spans="1:20" s="68" customFormat="1" ht="13">
      <c r="A57" s="1302"/>
      <c r="B57" s="1296" t="s">
        <v>540</v>
      </c>
      <c r="C57" s="1296"/>
      <c r="D57" s="1296"/>
      <c r="E57" s="1296"/>
      <c r="F57" s="1296"/>
      <c r="G57" s="1296"/>
      <c r="H57" s="1296"/>
      <c r="I57" s="1296"/>
      <c r="J57" s="1296"/>
      <c r="K57" s="1297"/>
      <c r="L57" s="60"/>
      <c r="M57" s="60"/>
      <c r="N57" s="60"/>
      <c r="O57" s="60"/>
      <c r="P57" s="60"/>
      <c r="Q57" s="60"/>
      <c r="R57" s="60"/>
      <c r="S57" s="60"/>
    </row>
    <row r="58" spans="1:20" s="68" customFormat="1" ht="13">
      <c r="A58" s="1302"/>
      <c r="B58" s="1296" t="s">
        <v>541</v>
      </c>
      <c r="C58" s="1296"/>
      <c r="D58" s="1296"/>
      <c r="E58" s="1296"/>
      <c r="F58" s="1296"/>
      <c r="G58" s="1296"/>
      <c r="H58" s="1296"/>
      <c r="I58" s="1296"/>
      <c r="J58" s="1296"/>
      <c r="K58" s="1297"/>
      <c r="L58" s="60"/>
      <c r="M58" s="60"/>
      <c r="N58" s="60"/>
      <c r="O58" s="60"/>
      <c r="P58" s="60"/>
      <c r="Q58" s="60"/>
      <c r="R58" s="60"/>
      <c r="S58" s="60"/>
    </row>
    <row r="59" spans="1:20" s="68" customFormat="1" ht="15" customHeight="1">
      <c r="A59" s="1302"/>
      <c r="B59" s="1296" t="s">
        <v>542</v>
      </c>
      <c r="C59" s="1296"/>
      <c r="D59" s="1296"/>
      <c r="E59" s="1296"/>
      <c r="F59" s="1296"/>
      <c r="G59" s="1296"/>
      <c r="H59" s="1296"/>
      <c r="I59" s="1296"/>
      <c r="J59" s="1296"/>
      <c r="K59" s="1297"/>
      <c r="L59" s="60"/>
      <c r="M59" s="60"/>
      <c r="N59" s="60"/>
      <c r="O59" s="60"/>
      <c r="P59" s="60"/>
      <c r="Q59" s="60"/>
      <c r="R59" s="60"/>
      <c r="S59" s="60"/>
    </row>
    <row r="60" spans="1:20" s="68" customFormat="1" ht="13">
      <c r="A60" s="70" t="s">
        <v>385</v>
      </c>
      <c r="B60" s="1294" t="s">
        <v>1022</v>
      </c>
      <c r="C60" s="1294"/>
      <c r="D60" s="1294"/>
      <c r="E60" s="1294"/>
      <c r="F60" s="1294"/>
      <c r="G60" s="1294"/>
      <c r="H60" s="1294"/>
      <c r="I60" s="1294"/>
      <c r="J60" s="1294"/>
      <c r="K60" s="1295"/>
      <c r="L60" s="60"/>
      <c r="M60" s="60"/>
      <c r="N60" s="60"/>
      <c r="O60" s="60"/>
      <c r="P60" s="60"/>
      <c r="Q60" s="60"/>
      <c r="R60" s="60"/>
      <c r="S60" s="60"/>
      <c r="T60" s="60"/>
    </row>
    <row r="61" spans="1:20" s="68" customFormat="1" ht="26.25" customHeight="1">
      <c r="A61" s="70"/>
      <c r="B61" s="1296" t="s">
        <v>1023</v>
      </c>
      <c r="C61" s="1296"/>
      <c r="D61" s="1296"/>
      <c r="E61" s="1296"/>
      <c r="F61" s="1296"/>
      <c r="G61" s="1296"/>
      <c r="H61" s="1296"/>
      <c r="I61" s="1296"/>
      <c r="J61" s="1296"/>
      <c r="K61" s="1297"/>
      <c r="L61" s="73"/>
      <c r="M61" s="60"/>
      <c r="N61" s="60"/>
      <c r="O61" s="60"/>
      <c r="P61" s="60"/>
      <c r="Q61" s="60"/>
      <c r="R61" s="60"/>
      <c r="S61" s="60"/>
      <c r="T61" s="60"/>
    </row>
    <row r="62" spans="1:20" s="68" customFormat="1" ht="26.25" customHeight="1">
      <c r="A62" s="70"/>
      <c r="B62" s="1296" t="s">
        <v>1024</v>
      </c>
      <c r="C62" s="1296"/>
      <c r="D62" s="1296"/>
      <c r="E62" s="1296"/>
      <c r="F62" s="1296"/>
      <c r="G62" s="1296"/>
      <c r="H62" s="1296"/>
      <c r="I62" s="1296"/>
      <c r="J62" s="1296"/>
      <c r="K62" s="1297"/>
      <c r="L62" s="73"/>
      <c r="M62" s="60"/>
      <c r="N62" s="60"/>
      <c r="O62" s="60"/>
      <c r="P62" s="60"/>
      <c r="Q62" s="60"/>
      <c r="R62" s="60"/>
      <c r="S62" s="60"/>
      <c r="T62" s="60"/>
    </row>
    <row r="63" spans="1:20" s="68" customFormat="1" ht="26.25" customHeight="1">
      <c r="A63" s="70"/>
      <c r="B63" s="1296" t="s">
        <v>1025</v>
      </c>
      <c r="C63" s="1296"/>
      <c r="D63" s="1296"/>
      <c r="E63" s="1296"/>
      <c r="F63" s="1296"/>
      <c r="G63" s="1296"/>
      <c r="H63" s="1296"/>
      <c r="I63" s="1296"/>
      <c r="J63" s="1296"/>
      <c r="K63" s="1297"/>
      <c r="L63" s="73"/>
      <c r="M63" s="60"/>
      <c r="N63" s="60"/>
      <c r="O63" s="60"/>
      <c r="P63" s="60"/>
      <c r="Q63" s="60"/>
      <c r="R63" s="60"/>
      <c r="S63" s="60"/>
      <c r="T63" s="60"/>
    </row>
    <row r="64" spans="1:20" s="68" customFormat="1" ht="13.5" thickBot="1">
      <c r="A64" s="70"/>
      <c r="B64" s="1296" t="s">
        <v>369</v>
      </c>
      <c r="C64" s="1296"/>
      <c r="D64" s="1296"/>
      <c r="E64" s="1296"/>
      <c r="F64" s="1296"/>
      <c r="G64" s="1296"/>
      <c r="H64" s="1296"/>
      <c r="I64" s="1296"/>
      <c r="J64" s="1296"/>
      <c r="K64" s="1297"/>
      <c r="L64" s="73"/>
      <c r="M64" s="60"/>
      <c r="N64" s="60"/>
      <c r="O64" s="60"/>
      <c r="P64" s="60"/>
      <c r="Q64" s="60"/>
      <c r="R64" s="60"/>
      <c r="S64" s="60"/>
      <c r="T64" s="60"/>
    </row>
    <row r="65" spans="1:20" s="69" customFormat="1" ht="15" customHeight="1" thickBot="1">
      <c r="A65" s="1303" t="s">
        <v>388</v>
      </c>
      <c r="B65" s="1304"/>
      <c r="C65" s="1304"/>
      <c r="D65" s="1304"/>
      <c r="E65" s="1304"/>
      <c r="F65" s="1304"/>
      <c r="G65" s="1304"/>
      <c r="H65" s="1304"/>
      <c r="I65" s="1304"/>
      <c r="J65" s="1304"/>
      <c r="K65" s="1305"/>
      <c r="L65" s="72"/>
      <c r="M65" s="60"/>
      <c r="N65" s="60"/>
      <c r="O65" s="60"/>
      <c r="P65" s="60"/>
      <c r="Q65" s="60"/>
      <c r="R65" s="60"/>
      <c r="S65" s="60"/>
      <c r="T65" s="60"/>
    </row>
    <row r="66" spans="1:20" s="68" customFormat="1" ht="26.25" customHeight="1">
      <c r="A66" s="149" t="s">
        <v>386</v>
      </c>
      <c r="B66" s="1306" t="s">
        <v>543</v>
      </c>
      <c r="C66" s="1306"/>
      <c r="D66" s="1306"/>
      <c r="E66" s="1306"/>
      <c r="F66" s="1306"/>
      <c r="G66" s="1306"/>
      <c r="H66" s="1306"/>
      <c r="I66" s="1306"/>
      <c r="J66" s="1306"/>
      <c r="K66" s="1307"/>
      <c r="L66" s="72"/>
      <c r="M66" s="60"/>
      <c r="N66" s="60"/>
      <c r="O66" s="60"/>
      <c r="P66" s="60"/>
      <c r="Q66" s="60"/>
      <c r="R66" s="60"/>
      <c r="S66" s="60"/>
      <c r="T66" s="60"/>
    </row>
    <row r="67" spans="1:20" s="68" customFormat="1" ht="26.25" customHeight="1">
      <c r="A67" s="1302" t="s">
        <v>387</v>
      </c>
      <c r="B67" s="1294" t="s">
        <v>544</v>
      </c>
      <c r="C67" s="1294"/>
      <c r="D67" s="1294"/>
      <c r="E67" s="1294"/>
      <c r="F67" s="1294"/>
      <c r="G67" s="1294"/>
      <c r="H67" s="1294"/>
      <c r="I67" s="1294"/>
      <c r="J67" s="1294"/>
      <c r="K67" s="1295"/>
      <c r="L67" s="72"/>
      <c r="M67" s="60"/>
      <c r="N67" s="60"/>
      <c r="O67" s="60"/>
      <c r="P67" s="60"/>
      <c r="Q67" s="60"/>
      <c r="R67" s="60"/>
      <c r="S67" s="60"/>
      <c r="T67" s="60"/>
    </row>
    <row r="68" spans="1:20" s="68" customFormat="1" ht="13">
      <c r="A68" s="1302"/>
      <c r="B68" s="1296" t="s">
        <v>545</v>
      </c>
      <c r="C68" s="1296"/>
      <c r="D68" s="1296"/>
      <c r="E68" s="1296"/>
      <c r="F68" s="1296"/>
      <c r="G68" s="1296"/>
      <c r="H68" s="1296"/>
      <c r="I68" s="1296"/>
      <c r="J68" s="1296"/>
      <c r="K68" s="1297"/>
      <c r="L68" s="60"/>
      <c r="M68" s="60"/>
      <c r="N68" s="60"/>
      <c r="O68" s="60"/>
      <c r="P68" s="60"/>
      <c r="Q68" s="60"/>
      <c r="R68" s="60"/>
      <c r="S68" s="60"/>
    </row>
    <row r="69" spans="1:20" s="68" customFormat="1" ht="15" customHeight="1">
      <c r="A69" s="1302"/>
      <c r="B69" s="1296" t="s">
        <v>1037</v>
      </c>
      <c r="C69" s="1296"/>
      <c r="D69" s="1296"/>
      <c r="E69" s="1296"/>
      <c r="F69" s="1296"/>
      <c r="G69" s="1296"/>
      <c r="H69" s="1296"/>
      <c r="I69" s="1296"/>
      <c r="J69" s="1296"/>
      <c r="K69" s="1297"/>
      <c r="L69" s="60"/>
      <c r="M69" s="60"/>
      <c r="N69" s="60"/>
      <c r="O69" s="60"/>
      <c r="P69" s="60"/>
      <c r="Q69" s="60"/>
      <c r="R69" s="60"/>
      <c r="S69" s="60"/>
    </row>
    <row r="70" spans="1:20" s="68" customFormat="1" ht="13">
      <c r="A70" s="1302"/>
      <c r="B70" s="1294" t="s">
        <v>546</v>
      </c>
      <c r="C70" s="1294"/>
      <c r="D70" s="1294"/>
      <c r="E70" s="1294"/>
      <c r="F70" s="1294"/>
      <c r="G70" s="1294"/>
      <c r="H70" s="1294"/>
      <c r="I70" s="1294"/>
      <c r="J70" s="1294"/>
      <c r="K70" s="1295"/>
      <c r="L70" s="67"/>
      <c r="M70" s="60"/>
      <c r="N70" s="60"/>
      <c r="O70" s="60"/>
      <c r="P70" s="60"/>
      <c r="Q70" s="60"/>
      <c r="R70" s="60"/>
      <c r="S70" s="60"/>
      <c r="T70" s="60"/>
    </row>
    <row r="71" spans="1:20" s="68" customFormat="1" ht="13">
      <c r="A71" s="1292" t="s">
        <v>389</v>
      </c>
      <c r="B71" s="1294" t="s">
        <v>1026</v>
      </c>
      <c r="C71" s="1294"/>
      <c r="D71" s="1294"/>
      <c r="E71" s="1294"/>
      <c r="F71" s="1294"/>
      <c r="G71" s="1294"/>
      <c r="H71" s="1294"/>
      <c r="I71" s="1294"/>
      <c r="J71" s="1294"/>
      <c r="K71" s="1295"/>
      <c r="L71" s="67"/>
      <c r="M71" s="60"/>
      <c r="N71" s="60"/>
      <c r="O71" s="60"/>
      <c r="P71" s="60"/>
      <c r="Q71" s="60"/>
      <c r="R71" s="60"/>
      <c r="S71" s="60"/>
      <c r="T71" s="60"/>
    </row>
    <row r="72" spans="1:20" s="68" customFormat="1" ht="26.25" customHeight="1">
      <c r="A72" s="1292"/>
      <c r="B72" s="1296" t="s">
        <v>1027</v>
      </c>
      <c r="C72" s="1296"/>
      <c r="D72" s="1296"/>
      <c r="E72" s="1296"/>
      <c r="F72" s="1296"/>
      <c r="G72" s="1296"/>
      <c r="H72" s="1296"/>
      <c r="I72" s="1296"/>
      <c r="J72" s="1296"/>
      <c r="K72" s="1297"/>
      <c r="L72" s="72"/>
      <c r="M72" s="60"/>
      <c r="N72" s="60"/>
      <c r="O72" s="60"/>
      <c r="P72" s="60"/>
      <c r="Q72" s="60"/>
      <c r="R72" s="60"/>
      <c r="S72" s="60"/>
    </row>
    <row r="73" spans="1:20" s="68" customFormat="1" ht="26.25" customHeight="1">
      <c r="A73" s="1292"/>
      <c r="B73" s="1296" t="s">
        <v>1028</v>
      </c>
      <c r="C73" s="1296"/>
      <c r="D73" s="1296"/>
      <c r="E73" s="1296"/>
      <c r="F73" s="1296"/>
      <c r="G73" s="1296"/>
      <c r="H73" s="1296"/>
      <c r="I73" s="1296"/>
      <c r="J73" s="1296"/>
      <c r="K73" s="1297"/>
      <c r="L73" s="72"/>
      <c r="M73" s="60"/>
      <c r="N73" s="60"/>
      <c r="O73" s="60"/>
      <c r="P73" s="60"/>
      <c r="Q73" s="60"/>
      <c r="R73" s="60"/>
      <c r="S73" s="60"/>
    </row>
    <row r="74" spans="1:20" s="68" customFormat="1" ht="26.25" customHeight="1">
      <c r="A74" s="1292"/>
      <c r="B74" s="1296" t="s">
        <v>1029</v>
      </c>
      <c r="C74" s="1296"/>
      <c r="D74" s="1296"/>
      <c r="E74" s="1296"/>
      <c r="F74" s="1296"/>
      <c r="G74" s="1296"/>
      <c r="H74" s="1296"/>
      <c r="I74" s="1296"/>
      <c r="J74" s="1296"/>
      <c r="K74" s="1297"/>
      <c r="L74" s="72"/>
      <c r="M74" s="60"/>
      <c r="N74" s="60"/>
      <c r="O74" s="60"/>
      <c r="P74" s="60"/>
      <c r="Q74" s="60"/>
      <c r="R74" s="60"/>
      <c r="S74" s="60"/>
    </row>
    <row r="75" spans="1:20" s="68" customFormat="1" ht="13.5" thickBot="1">
      <c r="A75" s="1293"/>
      <c r="B75" s="1298" t="s">
        <v>369</v>
      </c>
      <c r="C75" s="1298"/>
      <c r="D75" s="1298"/>
      <c r="E75" s="1298"/>
      <c r="F75" s="1298"/>
      <c r="G75" s="1298"/>
      <c r="H75" s="1298"/>
      <c r="I75" s="1298"/>
      <c r="J75" s="1298"/>
      <c r="K75" s="1299"/>
      <c r="L75" s="72"/>
      <c r="M75" s="60"/>
      <c r="N75" s="60"/>
      <c r="O75" s="60"/>
      <c r="P75" s="60"/>
      <c r="Q75" s="60"/>
      <c r="R75" s="60"/>
      <c r="S75" s="60"/>
    </row>
  </sheetData>
  <sheetProtection password="A541" sheet="1" objects="1" scenarios="1" selectLockedCells="1"/>
  <customSheetViews>
    <customSheetView guid="{E1D23BD2-FE11-448B-A102-D2461140BE5A}">
      <selection activeCell="B53" sqref="B53:K53"/>
      <pageMargins left="0.7" right="0.7" top="0.75" bottom="0.75" header="0.3" footer="0.3"/>
      <pageSetup scale="82" orientation="portrait" r:id="rId1"/>
    </customSheetView>
    <customSheetView guid="{B71FF06E-B5A8-4FBF-B20E-2B604DE9BFBD}" topLeftCell="A40">
      <selection activeCell="B53" sqref="B53:K53"/>
      <pageMargins left="0.7" right="0.7" top="0.75" bottom="0.75" header="0.3" footer="0.3"/>
      <pageSetup scale="82" orientation="portrait" r:id="rId2"/>
    </customSheetView>
  </customSheetViews>
  <mergeCells count="83">
    <mergeCell ref="B7:K7"/>
    <mergeCell ref="B10:K10"/>
    <mergeCell ref="B22:K22"/>
    <mergeCell ref="A16:K16"/>
    <mergeCell ref="A6:K6"/>
    <mergeCell ref="B8:K8"/>
    <mergeCell ref="C9:K9"/>
    <mergeCell ref="B17:K17"/>
    <mergeCell ref="B18:K18"/>
    <mergeCell ref="A19:K19"/>
    <mergeCell ref="A9:B9"/>
    <mergeCell ref="B14:K14"/>
    <mergeCell ref="B15:K15"/>
    <mergeCell ref="B11:K11"/>
    <mergeCell ref="B12:K12"/>
    <mergeCell ref="B13:K13"/>
    <mergeCell ref="A4:K4"/>
    <mergeCell ref="A5:K5"/>
    <mergeCell ref="A1:K1"/>
    <mergeCell ref="A2:K2"/>
    <mergeCell ref="A3:K3"/>
    <mergeCell ref="B33:K33"/>
    <mergeCell ref="B40:K40"/>
    <mergeCell ref="B36:K36"/>
    <mergeCell ref="B37:K37"/>
    <mergeCell ref="A43:K43"/>
    <mergeCell ref="A33:A40"/>
    <mergeCell ref="A41:A42"/>
    <mergeCell ref="B41:K41"/>
    <mergeCell ref="B42:K42"/>
    <mergeCell ref="B38:K38"/>
    <mergeCell ref="B39:K39"/>
    <mergeCell ref="B34:K34"/>
    <mergeCell ref="B35:K35"/>
    <mergeCell ref="B20:K20"/>
    <mergeCell ref="B21:K21"/>
    <mergeCell ref="A24:K24"/>
    <mergeCell ref="B27:K27"/>
    <mergeCell ref="B28:K28"/>
    <mergeCell ref="B26:K26"/>
    <mergeCell ref="A25:A32"/>
    <mergeCell ref="B23:K23"/>
    <mergeCell ref="B25:K25"/>
    <mergeCell ref="B32:K32"/>
    <mergeCell ref="B31:K31"/>
    <mergeCell ref="B29:K29"/>
    <mergeCell ref="B30:K30"/>
    <mergeCell ref="A46:A49"/>
    <mergeCell ref="B52:K52"/>
    <mergeCell ref="B53:K53"/>
    <mergeCell ref="B47:K47"/>
    <mergeCell ref="B48:K48"/>
    <mergeCell ref="B49:K49"/>
    <mergeCell ref="B51:K51"/>
    <mergeCell ref="B50:K50"/>
    <mergeCell ref="B46:K46"/>
    <mergeCell ref="B62:K62"/>
    <mergeCell ref="B56:K56"/>
    <mergeCell ref="B57:K57"/>
    <mergeCell ref="B59:K59"/>
    <mergeCell ref="B58:K58"/>
    <mergeCell ref="B55:K55"/>
    <mergeCell ref="B54:K54"/>
    <mergeCell ref="B45:K45"/>
    <mergeCell ref="B44:K44"/>
    <mergeCell ref="A67:A70"/>
    <mergeCell ref="B64:K64"/>
    <mergeCell ref="A65:K65"/>
    <mergeCell ref="B66:K66"/>
    <mergeCell ref="B63:K63"/>
    <mergeCell ref="B68:K68"/>
    <mergeCell ref="B69:K69"/>
    <mergeCell ref="B67:K67"/>
    <mergeCell ref="B70:K70"/>
    <mergeCell ref="A56:A59"/>
    <mergeCell ref="B60:K60"/>
    <mergeCell ref="B61:K61"/>
    <mergeCell ref="A71:A75"/>
    <mergeCell ref="B71:K71"/>
    <mergeCell ref="B72:K72"/>
    <mergeCell ref="B73:K73"/>
    <mergeCell ref="B75:K75"/>
    <mergeCell ref="B74:K74"/>
  </mergeCells>
  <pageMargins left="0.7" right="0.7" top="0.75" bottom="0.75" header="0.3" footer="0.3"/>
  <pageSetup scale="82"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N513"/>
  <sheetViews>
    <sheetView zoomScaleNormal="100" workbookViewId="0">
      <pane ySplit="12" topLeftCell="A13" activePane="bottomLeft" state="frozen"/>
      <selection pane="bottomLeft" activeCell="A13" sqref="A13"/>
    </sheetView>
  </sheetViews>
  <sheetFormatPr defaultRowHeight="13"/>
  <cols>
    <col min="1" max="38" width="9.1796875" style="60" customWidth="1"/>
    <col min="39" max="255" width="9.1796875" style="60"/>
    <col min="256" max="294" width="9.1796875" style="60" customWidth="1"/>
    <col min="295" max="511" width="9.1796875" style="60"/>
    <col min="512" max="550" width="9.1796875" style="60" customWidth="1"/>
    <col min="551" max="767" width="9.1796875" style="60"/>
    <col min="768" max="806" width="9.1796875" style="60" customWidth="1"/>
    <col min="807" max="1023" width="9.1796875" style="60"/>
    <col min="1024" max="1062" width="9.1796875" style="60" customWidth="1"/>
    <col min="1063" max="1279" width="9.1796875" style="60"/>
    <col min="1280" max="1318" width="9.1796875" style="60" customWidth="1"/>
    <col min="1319" max="1535" width="9.1796875" style="60"/>
    <col min="1536" max="1574" width="9.1796875" style="60" customWidth="1"/>
    <col min="1575" max="1791" width="9.1796875" style="60"/>
    <col min="1792" max="1830" width="9.1796875" style="60" customWidth="1"/>
    <col min="1831" max="2047" width="9.1796875" style="60"/>
    <col min="2048" max="2086" width="9.1796875" style="60" customWidth="1"/>
    <col min="2087" max="2303" width="9.1796875" style="60"/>
    <col min="2304" max="2342" width="9.1796875" style="60" customWidth="1"/>
    <col min="2343" max="2559" width="9.1796875" style="60"/>
    <col min="2560" max="2598" width="9.1796875" style="60" customWidth="1"/>
    <col min="2599" max="2815" width="9.1796875" style="60"/>
    <col min="2816" max="2854" width="9.1796875" style="60" customWidth="1"/>
    <col min="2855" max="3071" width="9.1796875" style="60"/>
    <col min="3072" max="3110" width="9.1796875" style="60" customWidth="1"/>
    <col min="3111" max="3327" width="9.1796875" style="60"/>
    <col min="3328" max="3366" width="9.1796875" style="60" customWidth="1"/>
    <col min="3367" max="3583" width="9.1796875" style="60"/>
    <col min="3584" max="3622" width="9.1796875" style="60" customWidth="1"/>
    <col min="3623" max="3839" width="9.1796875" style="60"/>
    <col min="3840" max="3878" width="9.1796875" style="60" customWidth="1"/>
    <col min="3879" max="4095" width="9.1796875" style="60"/>
    <col min="4096" max="4134" width="9.1796875" style="60" customWidth="1"/>
    <col min="4135" max="4351" width="9.1796875" style="60"/>
    <col min="4352" max="4390" width="9.1796875" style="60" customWidth="1"/>
    <col min="4391" max="4607" width="9.1796875" style="60"/>
    <col min="4608" max="4646" width="9.1796875" style="60" customWidth="1"/>
    <col min="4647" max="4863" width="9.1796875" style="60"/>
    <col min="4864" max="4902" width="9.1796875" style="60" customWidth="1"/>
    <col min="4903" max="5119" width="9.1796875" style="60"/>
    <col min="5120" max="5158" width="9.1796875" style="60" customWidth="1"/>
    <col min="5159" max="5375" width="9.1796875" style="60"/>
    <col min="5376" max="5414" width="9.1796875" style="60" customWidth="1"/>
    <col min="5415" max="5631" width="9.1796875" style="60"/>
    <col min="5632" max="5670" width="9.1796875" style="60" customWidth="1"/>
    <col min="5671" max="5887" width="9.1796875" style="60"/>
    <col min="5888" max="5926" width="9.1796875" style="60" customWidth="1"/>
    <col min="5927" max="6143" width="9.1796875" style="60"/>
    <col min="6144" max="6182" width="9.1796875" style="60" customWidth="1"/>
    <col min="6183" max="6399" width="9.1796875" style="60"/>
    <col min="6400" max="6438" width="9.1796875" style="60" customWidth="1"/>
    <col min="6439" max="6655" width="9.1796875" style="60"/>
    <col min="6656" max="6694" width="9.1796875" style="60" customWidth="1"/>
    <col min="6695" max="6911" width="9.1796875" style="60"/>
    <col min="6912" max="6950" width="9.1796875" style="60" customWidth="1"/>
    <col min="6951" max="7167" width="9.1796875" style="60"/>
    <col min="7168" max="7206" width="9.1796875" style="60" customWidth="1"/>
    <col min="7207" max="7423" width="9.1796875" style="60"/>
    <col min="7424" max="7462" width="9.1796875" style="60" customWidth="1"/>
    <col min="7463" max="7679" width="9.1796875" style="60"/>
    <col min="7680" max="7718" width="9.1796875" style="60" customWidth="1"/>
    <col min="7719" max="7935" width="9.1796875" style="60"/>
    <col min="7936" max="7974" width="9.1796875" style="60" customWidth="1"/>
    <col min="7975" max="8191" width="9.1796875" style="60"/>
    <col min="8192" max="8230" width="9.1796875" style="60" customWidth="1"/>
    <col min="8231" max="8447" width="9.1796875" style="60"/>
    <col min="8448" max="8486" width="9.1796875" style="60" customWidth="1"/>
    <col min="8487" max="8703" width="9.1796875" style="60"/>
    <col min="8704" max="8742" width="9.1796875" style="60" customWidth="1"/>
    <col min="8743" max="8959" width="9.1796875" style="60"/>
    <col min="8960" max="8998" width="9.1796875" style="60" customWidth="1"/>
    <col min="8999" max="9215" width="9.1796875" style="60"/>
    <col min="9216" max="9254" width="9.1796875" style="60" customWidth="1"/>
    <col min="9255" max="9471" width="9.1796875" style="60"/>
    <col min="9472" max="9510" width="9.1796875" style="60" customWidth="1"/>
    <col min="9511" max="9727" width="9.1796875" style="60"/>
    <col min="9728" max="9766" width="9.1796875" style="60" customWidth="1"/>
    <col min="9767" max="9983" width="9.1796875" style="60"/>
    <col min="9984" max="10022" width="9.1796875" style="60" customWidth="1"/>
    <col min="10023" max="10239" width="9.1796875" style="60"/>
    <col min="10240" max="10278" width="9.1796875" style="60" customWidth="1"/>
    <col min="10279" max="10495" width="9.1796875" style="60"/>
    <col min="10496" max="10534" width="9.1796875" style="60" customWidth="1"/>
    <col min="10535" max="10751" width="9.1796875" style="60"/>
    <col min="10752" max="10790" width="9.1796875" style="60" customWidth="1"/>
    <col min="10791" max="11007" width="9.1796875" style="60"/>
    <col min="11008" max="11046" width="9.1796875" style="60" customWidth="1"/>
    <col min="11047" max="11263" width="9.1796875" style="60"/>
    <col min="11264" max="11302" width="9.1796875" style="60" customWidth="1"/>
    <col min="11303" max="11519" width="9.1796875" style="60"/>
    <col min="11520" max="11558" width="9.1796875" style="60" customWidth="1"/>
    <col min="11559" max="11775" width="9.1796875" style="60"/>
    <col min="11776" max="11814" width="9.1796875" style="60" customWidth="1"/>
    <col min="11815" max="12031" width="9.1796875" style="60"/>
    <col min="12032" max="12070" width="9.1796875" style="60" customWidth="1"/>
    <col min="12071" max="12287" width="9.1796875" style="60"/>
    <col min="12288" max="12326" width="9.1796875" style="60" customWidth="1"/>
    <col min="12327" max="12543" width="9.1796875" style="60"/>
    <col min="12544" max="12582" width="9.1796875" style="60" customWidth="1"/>
    <col min="12583" max="12799" width="9.1796875" style="60"/>
    <col min="12800" max="12838" width="9.1796875" style="60" customWidth="1"/>
    <col min="12839" max="13055" width="9.1796875" style="60"/>
    <col min="13056" max="13094" width="9.1796875" style="60" customWidth="1"/>
    <col min="13095" max="13311" width="9.1796875" style="60"/>
    <col min="13312" max="13350" width="9.1796875" style="60" customWidth="1"/>
    <col min="13351" max="13567" width="9.1796875" style="60"/>
    <col min="13568" max="13606" width="9.1796875" style="60" customWidth="1"/>
    <col min="13607" max="13823" width="9.1796875" style="60"/>
    <col min="13824" max="13862" width="9.1796875" style="60" customWidth="1"/>
    <col min="13863" max="14079" width="9.1796875" style="60"/>
    <col min="14080" max="14118" width="9.1796875" style="60" customWidth="1"/>
    <col min="14119" max="14335" width="9.1796875" style="60"/>
    <col min="14336" max="14374" width="9.1796875" style="60" customWidth="1"/>
    <col min="14375" max="14591" width="9.1796875" style="60"/>
    <col min="14592" max="14630" width="9.1796875" style="60" customWidth="1"/>
    <col min="14631" max="14847" width="9.1796875" style="60"/>
    <col min="14848" max="14886" width="9.1796875" style="60" customWidth="1"/>
    <col min="14887" max="15103" width="9.1796875" style="60"/>
    <col min="15104" max="15142" width="9.1796875" style="60" customWidth="1"/>
    <col min="15143" max="15359" width="9.1796875" style="60"/>
    <col min="15360" max="15398" width="9.1796875" style="60" customWidth="1"/>
    <col min="15399" max="15615" width="9.1796875" style="60"/>
    <col min="15616" max="15654" width="9.1796875" style="60" customWidth="1"/>
    <col min="15655" max="15871" width="9.1796875" style="60"/>
    <col min="15872" max="15910" width="9.1796875" style="60" customWidth="1"/>
    <col min="15911" max="16127" width="9.1796875" style="60"/>
    <col min="16128" max="16166" width="9.1796875" style="60" customWidth="1"/>
    <col min="16167" max="16384" width="9.1796875" style="60"/>
  </cols>
  <sheetData>
    <row r="1" spans="1:40" s="1" customFormat="1" ht="15.75" customHeight="1" thickTop="1">
      <c r="A1" s="592" t="s">
        <v>0</v>
      </c>
      <c r="B1" s="593"/>
      <c r="C1" s="593"/>
      <c r="D1" s="593"/>
      <c r="E1" s="593"/>
      <c r="F1" s="594"/>
      <c r="G1" s="1176" t="s">
        <v>1</v>
      </c>
      <c r="H1" s="596"/>
      <c r="I1" s="1176" t="s">
        <v>2</v>
      </c>
      <c r="J1" s="596"/>
    </row>
    <row r="2" spans="1:40" s="1" customFormat="1" ht="33" customHeight="1" thickBot="1">
      <c r="A2" s="1358">
        <f>NameOfLegalEntity</f>
        <v>0</v>
      </c>
      <c r="B2" s="1359"/>
      <c r="C2" s="1359"/>
      <c r="D2" s="1359"/>
      <c r="E2" s="1359"/>
      <c r="F2" s="1360"/>
      <c r="G2" s="699">
        <f>ReviewLevel</f>
        <v>0</v>
      </c>
      <c r="H2" s="700"/>
      <c r="I2" s="699">
        <f>ReviewType</f>
        <v>0</v>
      </c>
      <c r="J2" s="700"/>
    </row>
    <row r="3" spans="1:40" s="1" customFormat="1" ht="15.75" customHeight="1" thickTop="1">
      <c r="A3" s="1371" t="s">
        <v>3</v>
      </c>
      <c r="B3" s="1372"/>
      <c r="C3" s="1372"/>
      <c r="D3" s="1372"/>
      <c r="E3" s="1373"/>
      <c r="F3" s="1176" t="s">
        <v>4</v>
      </c>
      <c r="G3" s="596"/>
      <c r="H3" s="592" t="s">
        <v>939</v>
      </c>
      <c r="I3" s="593"/>
      <c r="J3" s="594"/>
    </row>
    <row r="4" spans="1:40" s="1" customFormat="1" ht="15.5">
      <c r="A4" s="13" t="s">
        <v>6</v>
      </c>
      <c r="B4" s="1338">
        <f>CompletedByLastName</f>
        <v>0</v>
      </c>
      <c r="C4" s="1338"/>
      <c r="D4" s="1338"/>
      <c r="E4" s="1339"/>
      <c r="F4" s="1208" t="s">
        <v>7</v>
      </c>
      <c r="G4" s="1367"/>
      <c r="H4" s="2" t="s">
        <v>8</v>
      </c>
      <c r="I4" s="1348" t="str">
        <f>IF(DateOfMonitoringPeriodBegin="","",DateOfMonitoringPeriodBegin)</f>
        <v/>
      </c>
      <c r="J4" s="1349"/>
    </row>
    <row r="5" spans="1:40" s="1" customFormat="1" ht="16.5" customHeight="1" thickBot="1">
      <c r="A5" s="13" t="s">
        <v>9</v>
      </c>
      <c r="B5" s="1338">
        <f>CompletedByFirstName</f>
        <v>0</v>
      </c>
      <c r="C5" s="1338"/>
      <c r="D5" s="1338"/>
      <c r="E5" s="1339"/>
      <c r="F5" s="1340" t="str">
        <f>IF(DateOfEntrance="","",DateOfEntrance)</f>
        <v/>
      </c>
      <c r="G5" s="1341"/>
      <c r="H5" s="2" t="s">
        <v>10</v>
      </c>
      <c r="I5" s="1348" t="str">
        <f>IF(DateOfMonitoringPeriodEnd="","",DateOfMonitoringPeriodEnd)</f>
        <v/>
      </c>
      <c r="J5" s="1349"/>
    </row>
    <row r="6" spans="1:40" s="1" customFormat="1" ht="15.75" customHeight="1" thickTop="1" thickBot="1">
      <c r="A6" s="607" t="s">
        <v>11</v>
      </c>
      <c r="B6" s="608"/>
      <c r="C6" s="608" t="s">
        <v>49</v>
      </c>
      <c r="D6" s="608"/>
      <c r="E6" s="1342"/>
      <c r="F6" s="1176"/>
      <c r="G6" s="595"/>
      <c r="H6" s="595"/>
      <c r="I6" s="595"/>
      <c r="J6" s="596"/>
    </row>
    <row r="7" spans="1:40" s="1" customFormat="1" ht="15" customHeight="1" thickBot="1">
      <c r="A7" s="1343" t="s">
        <v>402</v>
      </c>
      <c r="B7" s="1344"/>
      <c r="C7" s="1345">
        <f>CCADAFCcontractNumber</f>
        <v>0</v>
      </c>
      <c r="D7" s="1346"/>
      <c r="E7" s="1347"/>
      <c r="F7" s="1355"/>
      <c r="G7" s="1356"/>
      <c r="H7" s="1356"/>
      <c r="I7" s="1356"/>
      <c r="J7" s="1357"/>
    </row>
    <row r="8" spans="1:40" customFormat="1" ht="17.25" customHeight="1" thickTop="1" thickBot="1">
      <c r="A8" s="1350" t="s">
        <v>503</v>
      </c>
      <c r="B8" s="1351"/>
      <c r="C8" s="1351"/>
      <c r="D8" s="1351"/>
      <c r="E8" s="1351"/>
      <c r="F8" s="1351"/>
      <c r="G8" s="1351"/>
      <c r="H8" s="1351"/>
      <c r="I8" s="1351"/>
      <c r="J8" s="1351"/>
      <c r="K8" s="1351"/>
      <c r="L8" s="1351"/>
      <c r="M8" s="1351"/>
      <c r="N8" s="1351"/>
      <c r="O8" s="1351"/>
      <c r="P8" s="1351"/>
      <c r="Q8" s="1351"/>
      <c r="R8" s="1351"/>
      <c r="S8" s="1351"/>
      <c r="T8" s="1352" t="s">
        <v>507</v>
      </c>
      <c r="U8" s="1351"/>
      <c r="V8" s="1351"/>
      <c r="W8" s="1351"/>
      <c r="X8" s="1351"/>
      <c r="Y8" s="1351"/>
      <c r="Z8" s="1351"/>
      <c r="AA8" s="1351"/>
      <c r="AB8" s="1351"/>
      <c r="AC8" s="1351"/>
      <c r="AD8" s="1351"/>
      <c r="AE8" s="1351"/>
      <c r="AF8" s="1351"/>
      <c r="AG8" s="1351"/>
      <c r="AH8" s="1351"/>
      <c r="AI8" s="1353"/>
    </row>
    <row r="9" spans="1:40" s="67" customFormat="1" ht="16.5" customHeight="1" thickTop="1" thickBot="1">
      <c r="A9" s="1336" t="s">
        <v>928</v>
      </c>
      <c r="B9" s="1366"/>
      <c r="C9" s="1366"/>
      <c r="D9" s="1366"/>
      <c r="E9" s="1366"/>
      <c r="F9" s="1366"/>
      <c r="G9" s="1366"/>
      <c r="H9" s="1366"/>
      <c r="I9" s="1366"/>
      <c r="J9" s="1366"/>
      <c r="K9" s="1366"/>
      <c r="L9" s="1337"/>
      <c r="M9" s="1336" t="s">
        <v>334</v>
      </c>
      <c r="N9" s="1337"/>
      <c r="O9" s="1336" t="s">
        <v>335</v>
      </c>
      <c r="P9" s="1337"/>
      <c r="Q9" s="1336" t="s">
        <v>336</v>
      </c>
      <c r="R9" s="1366"/>
      <c r="S9" s="1337"/>
      <c r="T9" s="1374" t="s">
        <v>337</v>
      </c>
      <c r="U9" s="1375"/>
      <c r="V9" s="1375"/>
      <c r="W9" s="1375"/>
      <c r="X9" s="1375"/>
      <c r="Y9" s="1376"/>
      <c r="Z9" s="1374" t="s">
        <v>338</v>
      </c>
      <c r="AA9" s="1375"/>
      <c r="AB9" s="1375"/>
      <c r="AC9" s="1375"/>
      <c r="AD9" s="1376"/>
      <c r="AE9" s="1336" t="s">
        <v>339</v>
      </c>
      <c r="AF9" s="1366"/>
      <c r="AG9" s="1366"/>
      <c r="AH9" s="1366"/>
      <c r="AI9" s="1337"/>
      <c r="AJ9"/>
      <c r="AK9"/>
      <c r="AL9"/>
      <c r="AM9"/>
      <c r="AN9"/>
    </row>
    <row r="10" spans="1:40" s="64" customFormat="1" ht="15.75" customHeight="1" thickBot="1">
      <c r="A10" s="1368" t="s">
        <v>52</v>
      </c>
      <c r="B10" s="1369"/>
      <c r="C10" s="1369"/>
      <c r="D10" s="1370"/>
      <c r="E10" s="51" t="s">
        <v>53</v>
      </c>
      <c r="F10" s="1354" t="s">
        <v>54</v>
      </c>
      <c r="G10" s="1354"/>
      <c r="H10" s="51" t="s">
        <v>55</v>
      </c>
      <c r="I10" s="52" t="s">
        <v>56</v>
      </c>
      <c r="J10" s="52" t="s">
        <v>57</v>
      </c>
      <c r="K10" s="52" t="s">
        <v>58</v>
      </c>
      <c r="L10" s="53" t="s">
        <v>59</v>
      </c>
      <c r="M10" s="54" t="s">
        <v>60</v>
      </c>
      <c r="N10" s="55" t="s">
        <v>71</v>
      </c>
      <c r="O10" s="54" t="s">
        <v>72</v>
      </c>
      <c r="P10" s="57" t="s">
        <v>73</v>
      </c>
      <c r="Q10" s="54" t="s">
        <v>74</v>
      </c>
      <c r="R10" s="57" t="s">
        <v>68</v>
      </c>
      <c r="S10" s="53" t="s">
        <v>75</v>
      </c>
      <c r="T10" s="54" t="s">
        <v>76</v>
      </c>
      <c r="U10" s="56" t="s">
        <v>77</v>
      </c>
      <c r="V10" s="52" t="s">
        <v>78</v>
      </c>
      <c r="W10" s="1361" t="s">
        <v>79</v>
      </c>
      <c r="X10" s="1362"/>
      <c r="Y10" s="1363"/>
      <c r="Z10" s="58" t="s">
        <v>80</v>
      </c>
      <c r="AA10" s="56" t="s">
        <v>81</v>
      </c>
      <c r="AB10" s="1361" t="s">
        <v>82</v>
      </c>
      <c r="AC10" s="1362"/>
      <c r="AD10" s="1363"/>
      <c r="AE10" s="59" t="s">
        <v>83</v>
      </c>
      <c r="AF10" s="147" t="s">
        <v>84</v>
      </c>
      <c r="AG10" s="1361" t="s">
        <v>325</v>
      </c>
      <c r="AH10" s="1362"/>
      <c r="AI10" s="1363"/>
      <c r="AJ10"/>
      <c r="AK10"/>
      <c r="AL10"/>
      <c r="AM10"/>
      <c r="AN10"/>
    </row>
    <row r="11" spans="1:40" s="65" customFormat="1" ht="150" customHeight="1">
      <c r="A11" s="261" t="s">
        <v>67</v>
      </c>
      <c r="B11" s="1334" t="s">
        <v>967</v>
      </c>
      <c r="C11" s="1334" t="s">
        <v>972</v>
      </c>
      <c r="D11" s="1334"/>
      <c r="E11" s="1334" t="s">
        <v>340</v>
      </c>
      <c r="F11" s="1334" t="s">
        <v>866</v>
      </c>
      <c r="G11" s="1334"/>
      <c r="H11" s="1334" t="s">
        <v>341</v>
      </c>
      <c r="I11" s="1334" t="s">
        <v>392</v>
      </c>
      <c r="J11" s="1334" t="s">
        <v>342</v>
      </c>
      <c r="K11" s="1334" t="s">
        <v>343</v>
      </c>
      <c r="L11" s="1334" t="s">
        <v>344</v>
      </c>
      <c r="M11" s="260" t="s">
        <v>345</v>
      </c>
      <c r="N11" s="260" t="s">
        <v>346</v>
      </c>
      <c r="O11" s="260" t="s">
        <v>347</v>
      </c>
      <c r="P11" s="260" t="s">
        <v>348</v>
      </c>
      <c r="Q11" s="260" t="s">
        <v>505</v>
      </c>
      <c r="R11" s="260" t="s">
        <v>506</v>
      </c>
      <c r="S11" s="1334" t="s">
        <v>994</v>
      </c>
      <c r="T11" s="1334" t="s">
        <v>508</v>
      </c>
      <c r="U11" s="1334" t="s">
        <v>509</v>
      </c>
      <c r="V11" s="1334" t="s">
        <v>510</v>
      </c>
      <c r="W11" s="1334" t="s">
        <v>1137</v>
      </c>
      <c r="X11" s="1334"/>
      <c r="Y11" s="1334"/>
      <c r="Z11" s="1334" t="s">
        <v>511</v>
      </c>
      <c r="AA11" s="1334" t="s">
        <v>512</v>
      </c>
      <c r="AB11" s="1334" t="s">
        <v>1030</v>
      </c>
      <c r="AC11" s="1334"/>
      <c r="AD11" s="1334"/>
      <c r="AE11" s="1334" t="s">
        <v>513</v>
      </c>
      <c r="AF11" s="1334" t="s">
        <v>867</v>
      </c>
      <c r="AG11" s="1334" t="s">
        <v>1031</v>
      </c>
      <c r="AH11" s="1334"/>
      <c r="AI11" s="1364"/>
      <c r="AJ11"/>
      <c r="AK11"/>
      <c r="AL11"/>
      <c r="AM11"/>
      <c r="AN11"/>
    </row>
    <row r="12" spans="1:40" s="282" customFormat="1" ht="78.75" customHeight="1" thickBot="1">
      <c r="A12" s="262"/>
      <c r="B12" s="1335"/>
      <c r="C12" s="90" t="s">
        <v>40</v>
      </c>
      <c r="D12" s="90" t="s">
        <v>971</v>
      </c>
      <c r="E12" s="1335"/>
      <c r="F12" s="259" t="s">
        <v>349</v>
      </c>
      <c r="G12" s="259" t="s">
        <v>350</v>
      </c>
      <c r="H12" s="1335"/>
      <c r="I12" s="1335"/>
      <c r="J12" s="1335"/>
      <c r="K12" s="1335"/>
      <c r="L12" s="1335"/>
      <c r="M12" s="1335" t="s">
        <v>992</v>
      </c>
      <c r="N12" s="1335"/>
      <c r="O12" s="1335" t="s">
        <v>504</v>
      </c>
      <c r="P12" s="1335"/>
      <c r="Q12" s="1335" t="s">
        <v>993</v>
      </c>
      <c r="R12" s="1335"/>
      <c r="S12" s="1335"/>
      <c r="T12" s="1335"/>
      <c r="U12" s="1335"/>
      <c r="V12" s="1335"/>
      <c r="W12" s="259" t="s">
        <v>351</v>
      </c>
      <c r="X12" s="1335" t="s">
        <v>352</v>
      </c>
      <c r="Y12" s="1335"/>
      <c r="Z12" s="1335"/>
      <c r="AA12" s="1335"/>
      <c r="AB12" s="259" t="s">
        <v>351</v>
      </c>
      <c r="AC12" s="1335" t="s">
        <v>352</v>
      </c>
      <c r="AD12" s="1335"/>
      <c r="AE12" s="1381"/>
      <c r="AF12" s="1335"/>
      <c r="AG12" s="259" t="s">
        <v>351</v>
      </c>
      <c r="AH12" s="1335" t="s">
        <v>352</v>
      </c>
      <c r="AI12" s="1365" t="s">
        <v>352</v>
      </c>
      <c r="AJ12" s="99"/>
      <c r="AK12" s="99"/>
      <c r="AL12" s="99"/>
      <c r="AM12" s="99"/>
      <c r="AN12" s="99"/>
    </row>
    <row r="13" spans="1:40" s="66" customFormat="1" ht="14.5">
      <c r="A13" s="263"/>
      <c r="B13" s="264"/>
      <c r="C13" s="265"/>
      <c r="D13" s="265"/>
      <c r="E13" s="266"/>
      <c r="F13" s="267"/>
      <c r="G13" s="267"/>
      <c r="H13" s="266"/>
      <c r="I13" s="266"/>
      <c r="J13" s="268"/>
      <c r="K13" s="268"/>
      <c r="L13" s="269">
        <f>IF(I13=0,0,(K13+J13)/I13)</f>
        <v>0</v>
      </c>
      <c r="M13" s="270"/>
      <c r="N13" s="271"/>
      <c r="O13" s="270"/>
      <c r="P13" s="272"/>
      <c r="Q13" s="273"/>
      <c r="R13" s="274"/>
      <c r="S13" s="275"/>
      <c r="T13" s="276">
        <f>IF(S13=0,0,((S13*Q13)-Z13))</f>
        <v>0</v>
      </c>
      <c r="U13" s="277">
        <f>+Q13-I13</f>
        <v>0</v>
      </c>
      <c r="V13" s="278">
        <f>(T13-J13)</f>
        <v>0</v>
      </c>
      <c r="W13" s="279"/>
      <c r="X13" s="1377"/>
      <c r="Y13" s="1378"/>
      <c r="Z13" s="276">
        <f>IF(I13=0,0,M13/H13*Q13)</f>
        <v>0</v>
      </c>
      <c r="AA13" s="280">
        <f>+Z13-O13</f>
        <v>0</v>
      </c>
      <c r="AB13" s="279"/>
      <c r="AC13" s="1377"/>
      <c r="AD13" s="1378"/>
      <c r="AE13" s="276">
        <f>IF(H13=0, 0, N13 / H13 * R13)</f>
        <v>0</v>
      </c>
      <c r="AF13" s="281">
        <f>+AE13-P13</f>
        <v>0</v>
      </c>
      <c r="AG13" s="279"/>
      <c r="AH13" s="1377"/>
      <c r="AI13" s="1378"/>
      <c r="AJ13"/>
      <c r="AK13"/>
      <c r="AL13"/>
      <c r="AM13"/>
      <c r="AN13"/>
    </row>
    <row r="14" spans="1:40" s="66" customFormat="1" ht="14.5">
      <c r="A14" s="186"/>
      <c r="B14" s="187"/>
      <c r="C14" s="188"/>
      <c r="D14" s="188"/>
      <c r="E14" s="189"/>
      <c r="F14" s="190"/>
      <c r="G14" s="190"/>
      <c r="H14" s="189"/>
      <c r="I14" s="189"/>
      <c r="J14" s="191"/>
      <c r="K14" s="191"/>
      <c r="L14" s="61">
        <f t="shared" ref="L14:L77" si="0">IF(I14=0,0,(K14+J14)/I14)</f>
        <v>0</v>
      </c>
      <c r="M14" s="192"/>
      <c r="N14" s="193"/>
      <c r="O14" s="192"/>
      <c r="P14" s="194"/>
      <c r="Q14" s="195"/>
      <c r="R14" s="196"/>
      <c r="S14" s="197"/>
      <c r="T14" s="62">
        <f t="shared" ref="T14:T77" si="1">IF(S14=0,0,((S14*Q14)-Z14))</f>
        <v>0</v>
      </c>
      <c r="U14" s="63">
        <f t="shared" ref="U14:U77" si="2">+Q14-I14</f>
        <v>0</v>
      </c>
      <c r="V14" s="145">
        <f t="shared" ref="V14:V77" si="3">(T14-J14)</f>
        <v>0</v>
      </c>
      <c r="W14" s="198"/>
      <c r="X14" s="1379"/>
      <c r="Y14" s="1380"/>
      <c r="Z14" s="62">
        <f t="shared" ref="Z14:Z77" si="4">IF(I14=0,0,M14/H14*Q14)</f>
        <v>0</v>
      </c>
      <c r="AA14" s="146">
        <f t="shared" ref="AA14:AA77" si="5">+Z14-O14</f>
        <v>0</v>
      </c>
      <c r="AB14" s="198"/>
      <c r="AC14" s="1379"/>
      <c r="AD14" s="1380"/>
      <c r="AE14" s="62">
        <f t="shared" ref="AE14:AE77" si="6">IF(H14=0, 0, N14 / H14 * R14)</f>
        <v>0</v>
      </c>
      <c r="AF14" s="148">
        <f t="shared" ref="AF14:AF77" si="7">+AE14-P14</f>
        <v>0</v>
      </c>
      <c r="AG14" s="198"/>
      <c r="AH14" s="1379"/>
      <c r="AI14" s="1380"/>
      <c r="AJ14"/>
      <c r="AK14"/>
      <c r="AL14"/>
      <c r="AM14"/>
      <c r="AN14"/>
    </row>
    <row r="15" spans="1:40" s="66" customFormat="1" ht="14.5">
      <c r="A15" s="186"/>
      <c r="B15" s="187"/>
      <c r="C15" s="188"/>
      <c r="D15" s="188"/>
      <c r="E15" s="189"/>
      <c r="F15" s="190"/>
      <c r="G15" s="190"/>
      <c r="H15" s="189"/>
      <c r="I15" s="189"/>
      <c r="J15" s="191"/>
      <c r="K15" s="191"/>
      <c r="L15" s="61">
        <f t="shared" si="0"/>
        <v>0</v>
      </c>
      <c r="M15" s="192"/>
      <c r="N15" s="193"/>
      <c r="O15" s="192"/>
      <c r="P15" s="194"/>
      <c r="Q15" s="195"/>
      <c r="R15" s="196"/>
      <c r="S15" s="197"/>
      <c r="T15" s="62">
        <f t="shared" si="1"/>
        <v>0</v>
      </c>
      <c r="U15" s="63">
        <f t="shared" si="2"/>
        <v>0</v>
      </c>
      <c r="V15" s="145">
        <f t="shared" si="3"/>
        <v>0</v>
      </c>
      <c r="W15" s="198"/>
      <c r="X15" s="1379"/>
      <c r="Y15" s="1380"/>
      <c r="Z15" s="62">
        <f t="shared" si="4"/>
        <v>0</v>
      </c>
      <c r="AA15" s="146">
        <f t="shared" si="5"/>
        <v>0</v>
      </c>
      <c r="AB15" s="198"/>
      <c r="AC15" s="1379"/>
      <c r="AD15" s="1380"/>
      <c r="AE15" s="62">
        <f t="shared" si="6"/>
        <v>0</v>
      </c>
      <c r="AF15" s="148">
        <f t="shared" si="7"/>
        <v>0</v>
      </c>
      <c r="AG15" s="198"/>
      <c r="AH15" s="1379"/>
      <c r="AI15" s="1380"/>
      <c r="AJ15"/>
      <c r="AK15"/>
      <c r="AL15"/>
      <c r="AM15"/>
      <c r="AN15"/>
    </row>
    <row r="16" spans="1:40" s="66" customFormat="1" ht="14.5">
      <c r="A16" s="186"/>
      <c r="B16" s="187"/>
      <c r="C16" s="188"/>
      <c r="D16" s="188"/>
      <c r="E16" s="189"/>
      <c r="F16" s="190"/>
      <c r="G16" s="190"/>
      <c r="H16" s="189"/>
      <c r="I16" s="189"/>
      <c r="J16" s="191"/>
      <c r="K16" s="191"/>
      <c r="L16" s="61">
        <f t="shared" si="0"/>
        <v>0</v>
      </c>
      <c r="M16" s="192"/>
      <c r="N16" s="193"/>
      <c r="O16" s="192"/>
      <c r="P16" s="194"/>
      <c r="Q16" s="195"/>
      <c r="R16" s="196"/>
      <c r="S16" s="197"/>
      <c r="T16" s="62">
        <f t="shared" si="1"/>
        <v>0</v>
      </c>
      <c r="U16" s="63">
        <f t="shared" si="2"/>
        <v>0</v>
      </c>
      <c r="V16" s="145">
        <f t="shared" si="3"/>
        <v>0</v>
      </c>
      <c r="W16" s="198"/>
      <c r="X16" s="1379"/>
      <c r="Y16" s="1380"/>
      <c r="Z16" s="62">
        <f t="shared" si="4"/>
        <v>0</v>
      </c>
      <c r="AA16" s="146">
        <f t="shared" si="5"/>
        <v>0</v>
      </c>
      <c r="AB16" s="198"/>
      <c r="AC16" s="1379"/>
      <c r="AD16" s="1380"/>
      <c r="AE16" s="62">
        <f t="shared" si="6"/>
        <v>0</v>
      </c>
      <c r="AF16" s="148">
        <f t="shared" si="7"/>
        <v>0</v>
      </c>
      <c r="AG16" s="198"/>
      <c r="AH16" s="1379"/>
      <c r="AI16" s="1380"/>
      <c r="AJ16"/>
      <c r="AK16"/>
      <c r="AL16"/>
      <c r="AM16"/>
      <c r="AN16"/>
    </row>
    <row r="17" spans="1:40" s="66" customFormat="1" ht="14.5">
      <c r="A17" s="186"/>
      <c r="B17" s="187"/>
      <c r="C17" s="188"/>
      <c r="D17" s="188"/>
      <c r="E17" s="189"/>
      <c r="F17" s="190"/>
      <c r="G17" s="190"/>
      <c r="H17" s="189"/>
      <c r="I17" s="189"/>
      <c r="J17" s="191"/>
      <c r="K17" s="191"/>
      <c r="L17" s="61">
        <f t="shared" si="0"/>
        <v>0</v>
      </c>
      <c r="M17" s="192"/>
      <c r="N17" s="193"/>
      <c r="O17" s="192"/>
      <c r="P17" s="194"/>
      <c r="Q17" s="195"/>
      <c r="R17" s="196"/>
      <c r="S17" s="197"/>
      <c r="T17" s="62">
        <f t="shared" si="1"/>
        <v>0</v>
      </c>
      <c r="U17" s="63">
        <f t="shared" si="2"/>
        <v>0</v>
      </c>
      <c r="V17" s="145">
        <f t="shared" si="3"/>
        <v>0</v>
      </c>
      <c r="W17" s="198"/>
      <c r="X17" s="1379"/>
      <c r="Y17" s="1380"/>
      <c r="Z17" s="62">
        <f t="shared" si="4"/>
        <v>0</v>
      </c>
      <c r="AA17" s="146">
        <f t="shared" si="5"/>
        <v>0</v>
      </c>
      <c r="AB17" s="198"/>
      <c r="AC17" s="1379"/>
      <c r="AD17" s="1380"/>
      <c r="AE17" s="62">
        <f t="shared" si="6"/>
        <v>0</v>
      </c>
      <c r="AF17" s="148">
        <f t="shared" si="7"/>
        <v>0</v>
      </c>
      <c r="AG17" s="198"/>
      <c r="AH17" s="1379"/>
      <c r="AI17" s="1380"/>
      <c r="AJ17"/>
      <c r="AK17"/>
      <c r="AL17"/>
      <c r="AM17"/>
      <c r="AN17"/>
    </row>
    <row r="18" spans="1:40" s="66" customFormat="1" ht="14.5">
      <c r="A18" s="186"/>
      <c r="B18" s="187"/>
      <c r="C18" s="188"/>
      <c r="D18" s="188"/>
      <c r="E18" s="189"/>
      <c r="F18" s="190"/>
      <c r="G18" s="190"/>
      <c r="H18" s="189"/>
      <c r="I18" s="189"/>
      <c r="J18" s="191"/>
      <c r="K18" s="191"/>
      <c r="L18" s="61">
        <f t="shared" si="0"/>
        <v>0</v>
      </c>
      <c r="M18" s="192"/>
      <c r="N18" s="193"/>
      <c r="O18" s="192"/>
      <c r="P18" s="194"/>
      <c r="Q18" s="195"/>
      <c r="R18" s="196"/>
      <c r="S18" s="197"/>
      <c r="T18" s="62">
        <f t="shared" si="1"/>
        <v>0</v>
      </c>
      <c r="U18" s="63">
        <f t="shared" si="2"/>
        <v>0</v>
      </c>
      <c r="V18" s="145">
        <f t="shared" si="3"/>
        <v>0</v>
      </c>
      <c r="W18" s="198"/>
      <c r="X18" s="1379"/>
      <c r="Y18" s="1380"/>
      <c r="Z18" s="62">
        <f t="shared" si="4"/>
        <v>0</v>
      </c>
      <c r="AA18" s="146">
        <f t="shared" si="5"/>
        <v>0</v>
      </c>
      <c r="AB18" s="198"/>
      <c r="AC18" s="1379"/>
      <c r="AD18" s="1380"/>
      <c r="AE18" s="62">
        <f t="shared" si="6"/>
        <v>0</v>
      </c>
      <c r="AF18" s="148">
        <f t="shared" si="7"/>
        <v>0</v>
      </c>
      <c r="AG18" s="198"/>
      <c r="AH18" s="1379"/>
      <c r="AI18" s="1380"/>
      <c r="AJ18"/>
      <c r="AK18"/>
      <c r="AL18"/>
      <c r="AM18"/>
      <c r="AN18"/>
    </row>
    <row r="19" spans="1:40" s="66" customFormat="1" ht="14.5">
      <c r="A19" s="186"/>
      <c r="B19" s="187"/>
      <c r="C19" s="188"/>
      <c r="D19" s="188"/>
      <c r="E19" s="189"/>
      <c r="F19" s="190"/>
      <c r="G19" s="190"/>
      <c r="H19" s="189"/>
      <c r="I19" s="189"/>
      <c r="J19" s="191"/>
      <c r="K19" s="191"/>
      <c r="L19" s="61">
        <f t="shared" si="0"/>
        <v>0</v>
      </c>
      <c r="M19" s="192"/>
      <c r="N19" s="193"/>
      <c r="O19" s="192"/>
      <c r="P19" s="194"/>
      <c r="Q19" s="195"/>
      <c r="R19" s="196"/>
      <c r="S19" s="197"/>
      <c r="T19" s="62">
        <f t="shared" si="1"/>
        <v>0</v>
      </c>
      <c r="U19" s="63">
        <f t="shared" si="2"/>
        <v>0</v>
      </c>
      <c r="V19" s="145">
        <f t="shared" si="3"/>
        <v>0</v>
      </c>
      <c r="W19" s="198"/>
      <c r="X19" s="1379"/>
      <c r="Y19" s="1380"/>
      <c r="Z19" s="62">
        <f t="shared" si="4"/>
        <v>0</v>
      </c>
      <c r="AA19" s="146">
        <f t="shared" si="5"/>
        <v>0</v>
      </c>
      <c r="AB19" s="198"/>
      <c r="AC19" s="1379"/>
      <c r="AD19" s="1380"/>
      <c r="AE19" s="62">
        <f t="shared" si="6"/>
        <v>0</v>
      </c>
      <c r="AF19" s="148">
        <f t="shared" si="7"/>
        <v>0</v>
      </c>
      <c r="AG19" s="198"/>
      <c r="AH19" s="1379"/>
      <c r="AI19" s="1380"/>
      <c r="AJ19"/>
      <c r="AK19"/>
      <c r="AL19"/>
      <c r="AM19"/>
      <c r="AN19"/>
    </row>
    <row r="20" spans="1:40" s="66" customFormat="1" ht="14.5">
      <c r="A20" s="186"/>
      <c r="B20" s="187"/>
      <c r="C20" s="188"/>
      <c r="D20" s="188"/>
      <c r="E20" s="189"/>
      <c r="F20" s="190"/>
      <c r="G20" s="190"/>
      <c r="H20" s="189"/>
      <c r="I20" s="189"/>
      <c r="J20" s="191"/>
      <c r="K20" s="191"/>
      <c r="L20" s="61">
        <f t="shared" si="0"/>
        <v>0</v>
      </c>
      <c r="M20" s="192"/>
      <c r="N20" s="193"/>
      <c r="O20" s="192"/>
      <c r="P20" s="194"/>
      <c r="Q20" s="195"/>
      <c r="R20" s="196"/>
      <c r="S20" s="197"/>
      <c r="T20" s="62">
        <f t="shared" si="1"/>
        <v>0</v>
      </c>
      <c r="U20" s="63">
        <f t="shared" si="2"/>
        <v>0</v>
      </c>
      <c r="V20" s="145">
        <f t="shared" si="3"/>
        <v>0</v>
      </c>
      <c r="W20" s="198"/>
      <c r="X20" s="1379"/>
      <c r="Y20" s="1380"/>
      <c r="Z20" s="62">
        <f t="shared" si="4"/>
        <v>0</v>
      </c>
      <c r="AA20" s="146">
        <f t="shared" si="5"/>
        <v>0</v>
      </c>
      <c r="AB20" s="198"/>
      <c r="AC20" s="1379"/>
      <c r="AD20" s="1380"/>
      <c r="AE20" s="62">
        <f t="shared" si="6"/>
        <v>0</v>
      </c>
      <c r="AF20" s="148">
        <f t="shared" si="7"/>
        <v>0</v>
      </c>
      <c r="AG20" s="198"/>
      <c r="AH20" s="1379"/>
      <c r="AI20" s="1380"/>
      <c r="AJ20"/>
      <c r="AK20"/>
      <c r="AL20"/>
      <c r="AM20"/>
      <c r="AN20"/>
    </row>
    <row r="21" spans="1:40" s="66" customFormat="1" ht="14.5">
      <c r="A21" s="186"/>
      <c r="B21" s="187"/>
      <c r="C21" s="188"/>
      <c r="D21" s="188"/>
      <c r="E21" s="189"/>
      <c r="F21" s="190"/>
      <c r="G21" s="190"/>
      <c r="H21" s="189"/>
      <c r="I21" s="189"/>
      <c r="J21" s="191"/>
      <c r="K21" s="191"/>
      <c r="L21" s="61">
        <f t="shared" si="0"/>
        <v>0</v>
      </c>
      <c r="M21" s="192"/>
      <c r="N21" s="193"/>
      <c r="O21" s="192"/>
      <c r="P21" s="194"/>
      <c r="Q21" s="195"/>
      <c r="R21" s="196"/>
      <c r="S21" s="197"/>
      <c r="T21" s="62">
        <f t="shared" si="1"/>
        <v>0</v>
      </c>
      <c r="U21" s="63">
        <f t="shared" si="2"/>
        <v>0</v>
      </c>
      <c r="V21" s="145">
        <f t="shared" si="3"/>
        <v>0</v>
      </c>
      <c r="W21" s="198"/>
      <c r="X21" s="1379"/>
      <c r="Y21" s="1380"/>
      <c r="Z21" s="62">
        <f t="shared" si="4"/>
        <v>0</v>
      </c>
      <c r="AA21" s="146">
        <f t="shared" si="5"/>
        <v>0</v>
      </c>
      <c r="AB21" s="198"/>
      <c r="AC21" s="1379"/>
      <c r="AD21" s="1380"/>
      <c r="AE21" s="62">
        <f t="shared" si="6"/>
        <v>0</v>
      </c>
      <c r="AF21" s="148">
        <f t="shared" si="7"/>
        <v>0</v>
      </c>
      <c r="AG21" s="198"/>
      <c r="AH21" s="1379"/>
      <c r="AI21" s="1380"/>
      <c r="AJ21"/>
      <c r="AK21"/>
      <c r="AL21"/>
      <c r="AM21"/>
      <c r="AN21"/>
    </row>
    <row r="22" spans="1:40" s="66" customFormat="1" ht="14.5">
      <c r="A22" s="186"/>
      <c r="B22" s="187"/>
      <c r="C22" s="188"/>
      <c r="D22" s="188"/>
      <c r="E22" s="189"/>
      <c r="F22" s="190"/>
      <c r="G22" s="190"/>
      <c r="H22" s="189"/>
      <c r="I22" s="189"/>
      <c r="J22" s="191"/>
      <c r="K22" s="191"/>
      <c r="L22" s="61">
        <f t="shared" si="0"/>
        <v>0</v>
      </c>
      <c r="M22" s="192"/>
      <c r="N22" s="193"/>
      <c r="O22" s="192"/>
      <c r="P22" s="194"/>
      <c r="Q22" s="195"/>
      <c r="R22" s="196"/>
      <c r="S22" s="197"/>
      <c r="T22" s="62">
        <f t="shared" si="1"/>
        <v>0</v>
      </c>
      <c r="U22" s="63">
        <f t="shared" si="2"/>
        <v>0</v>
      </c>
      <c r="V22" s="145">
        <f t="shared" si="3"/>
        <v>0</v>
      </c>
      <c r="W22" s="198"/>
      <c r="X22" s="1379"/>
      <c r="Y22" s="1380"/>
      <c r="Z22" s="62">
        <f t="shared" si="4"/>
        <v>0</v>
      </c>
      <c r="AA22" s="146">
        <f t="shared" si="5"/>
        <v>0</v>
      </c>
      <c r="AB22" s="198"/>
      <c r="AC22" s="1379"/>
      <c r="AD22" s="1380"/>
      <c r="AE22" s="62">
        <f t="shared" si="6"/>
        <v>0</v>
      </c>
      <c r="AF22" s="148">
        <f t="shared" si="7"/>
        <v>0</v>
      </c>
      <c r="AG22" s="198"/>
      <c r="AH22" s="1379"/>
      <c r="AI22" s="1380"/>
      <c r="AJ22"/>
      <c r="AK22"/>
      <c r="AL22"/>
      <c r="AM22"/>
      <c r="AN22"/>
    </row>
    <row r="23" spans="1:40" s="66" customFormat="1" ht="14.5">
      <c r="A23" s="186"/>
      <c r="B23" s="187"/>
      <c r="C23" s="188"/>
      <c r="D23" s="188"/>
      <c r="E23" s="189"/>
      <c r="F23" s="190"/>
      <c r="G23" s="190"/>
      <c r="H23" s="189"/>
      <c r="I23" s="189"/>
      <c r="J23" s="191"/>
      <c r="K23" s="191"/>
      <c r="L23" s="61">
        <f t="shared" si="0"/>
        <v>0</v>
      </c>
      <c r="M23" s="192"/>
      <c r="N23" s="193"/>
      <c r="O23" s="192"/>
      <c r="P23" s="194"/>
      <c r="Q23" s="195"/>
      <c r="R23" s="196"/>
      <c r="S23" s="197"/>
      <c r="T23" s="62">
        <f t="shared" si="1"/>
        <v>0</v>
      </c>
      <c r="U23" s="63">
        <f t="shared" si="2"/>
        <v>0</v>
      </c>
      <c r="V23" s="145">
        <f t="shared" si="3"/>
        <v>0</v>
      </c>
      <c r="W23" s="198"/>
      <c r="X23" s="1379"/>
      <c r="Y23" s="1380"/>
      <c r="Z23" s="62">
        <f t="shared" si="4"/>
        <v>0</v>
      </c>
      <c r="AA23" s="146">
        <f t="shared" si="5"/>
        <v>0</v>
      </c>
      <c r="AB23" s="198"/>
      <c r="AC23" s="1379"/>
      <c r="AD23" s="1380"/>
      <c r="AE23" s="62">
        <f t="shared" si="6"/>
        <v>0</v>
      </c>
      <c r="AF23" s="148">
        <f t="shared" si="7"/>
        <v>0</v>
      </c>
      <c r="AG23" s="198"/>
      <c r="AH23" s="1379"/>
      <c r="AI23" s="1380"/>
      <c r="AJ23"/>
      <c r="AK23"/>
      <c r="AL23"/>
      <c r="AM23"/>
      <c r="AN23"/>
    </row>
    <row r="24" spans="1:40" s="66" customFormat="1" ht="14.5">
      <c r="A24" s="186"/>
      <c r="B24" s="187"/>
      <c r="C24" s="188"/>
      <c r="D24" s="188"/>
      <c r="E24" s="189"/>
      <c r="F24" s="190"/>
      <c r="G24" s="190"/>
      <c r="H24" s="189"/>
      <c r="I24" s="189"/>
      <c r="J24" s="191"/>
      <c r="K24" s="191"/>
      <c r="L24" s="61">
        <f t="shared" si="0"/>
        <v>0</v>
      </c>
      <c r="M24" s="192"/>
      <c r="N24" s="193"/>
      <c r="O24" s="192"/>
      <c r="P24" s="194"/>
      <c r="Q24" s="195"/>
      <c r="R24" s="196"/>
      <c r="S24" s="197"/>
      <c r="T24" s="62">
        <f t="shared" si="1"/>
        <v>0</v>
      </c>
      <c r="U24" s="63">
        <f t="shared" si="2"/>
        <v>0</v>
      </c>
      <c r="V24" s="145">
        <f t="shared" si="3"/>
        <v>0</v>
      </c>
      <c r="W24" s="198"/>
      <c r="X24" s="1379"/>
      <c r="Y24" s="1380"/>
      <c r="Z24" s="62">
        <f t="shared" si="4"/>
        <v>0</v>
      </c>
      <c r="AA24" s="146">
        <f t="shared" si="5"/>
        <v>0</v>
      </c>
      <c r="AB24" s="198"/>
      <c r="AC24" s="1379"/>
      <c r="AD24" s="1380"/>
      <c r="AE24" s="62">
        <f t="shared" si="6"/>
        <v>0</v>
      </c>
      <c r="AF24" s="148">
        <f t="shared" si="7"/>
        <v>0</v>
      </c>
      <c r="AG24" s="198"/>
      <c r="AH24" s="1379"/>
      <c r="AI24" s="1380"/>
      <c r="AJ24"/>
      <c r="AK24"/>
      <c r="AL24"/>
      <c r="AM24"/>
      <c r="AN24"/>
    </row>
    <row r="25" spans="1:40" s="66" customFormat="1" ht="14.5">
      <c r="A25" s="186"/>
      <c r="B25" s="187"/>
      <c r="C25" s="188"/>
      <c r="D25" s="188"/>
      <c r="E25" s="189"/>
      <c r="F25" s="190"/>
      <c r="G25" s="190"/>
      <c r="H25" s="189"/>
      <c r="I25" s="189"/>
      <c r="J25" s="191"/>
      <c r="K25" s="191"/>
      <c r="L25" s="61">
        <f t="shared" si="0"/>
        <v>0</v>
      </c>
      <c r="M25" s="192"/>
      <c r="N25" s="193"/>
      <c r="O25" s="192"/>
      <c r="P25" s="194"/>
      <c r="Q25" s="195"/>
      <c r="R25" s="196"/>
      <c r="S25" s="197"/>
      <c r="T25" s="62">
        <f t="shared" si="1"/>
        <v>0</v>
      </c>
      <c r="U25" s="63">
        <f t="shared" si="2"/>
        <v>0</v>
      </c>
      <c r="V25" s="145">
        <f t="shared" si="3"/>
        <v>0</v>
      </c>
      <c r="W25" s="198"/>
      <c r="X25" s="1379"/>
      <c r="Y25" s="1380"/>
      <c r="Z25" s="62">
        <f t="shared" si="4"/>
        <v>0</v>
      </c>
      <c r="AA25" s="146">
        <f t="shared" si="5"/>
        <v>0</v>
      </c>
      <c r="AB25" s="198"/>
      <c r="AC25" s="1379"/>
      <c r="AD25" s="1380"/>
      <c r="AE25" s="62">
        <f t="shared" si="6"/>
        <v>0</v>
      </c>
      <c r="AF25" s="148">
        <f t="shared" si="7"/>
        <v>0</v>
      </c>
      <c r="AG25" s="198"/>
      <c r="AH25" s="1379"/>
      <c r="AI25" s="1380"/>
      <c r="AJ25"/>
      <c r="AK25"/>
      <c r="AL25"/>
      <c r="AM25"/>
      <c r="AN25"/>
    </row>
    <row r="26" spans="1:40" s="66" customFormat="1" ht="14.5">
      <c r="A26" s="186"/>
      <c r="B26" s="187"/>
      <c r="C26" s="188"/>
      <c r="D26" s="188"/>
      <c r="E26" s="189"/>
      <c r="F26" s="190"/>
      <c r="G26" s="190"/>
      <c r="H26" s="189"/>
      <c r="I26" s="189"/>
      <c r="J26" s="191"/>
      <c r="K26" s="191"/>
      <c r="L26" s="61">
        <f t="shared" si="0"/>
        <v>0</v>
      </c>
      <c r="M26" s="192"/>
      <c r="N26" s="193"/>
      <c r="O26" s="192"/>
      <c r="P26" s="194"/>
      <c r="Q26" s="195"/>
      <c r="R26" s="196"/>
      <c r="S26" s="197"/>
      <c r="T26" s="62">
        <f t="shared" si="1"/>
        <v>0</v>
      </c>
      <c r="U26" s="63">
        <f t="shared" si="2"/>
        <v>0</v>
      </c>
      <c r="V26" s="145">
        <f t="shared" si="3"/>
        <v>0</v>
      </c>
      <c r="W26" s="198"/>
      <c r="X26" s="1379"/>
      <c r="Y26" s="1380"/>
      <c r="Z26" s="62">
        <f t="shared" si="4"/>
        <v>0</v>
      </c>
      <c r="AA26" s="146">
        <f t="shared" si="5"/>
        <v>0</v>
      </c>
      <c r="AB26" s="198"/>
      <c r="AC26" s="1379"/>
      <c r="AD26" s="1380"/>
      <c r="AE26" s="62">
        <f t="shared" si="6"/>
        <v>0</v>
      </c>
      <c r="AF26" s="148">
        <f t="shared" si="7"/>
        <v>0</v>
      </c>
      <c r="AG26" s="198"/>
      <c r="AH26" s="1379"/>
      <c r="AI26" s="1380"/>
      <c r="AJ26"/>
      <c r="AK26"/>
      <c r="AL26"/>
      <c r="AM26"/>
      <c r="AN26"/>
    </row>
    <row r="27" spans="1:40" s="66" customFormat="1" ht="14.5">
      <c r="A27" s="186"/>
      <c r="B27" s="187"/>
      <c r="C27" s="188"/>
      <c r="D27" s="188"/>
      <c r="E27" s="189"/>
      <c r="F27" s="190"/>
      <c r="G27" s="190"/>
      <c r="H27" s="189"/>
      <c r="I27" s="189"/>
      <c r="J27" s="191"/>
      <c r="K27" s="191"/>
      <c r="L27" s="61">
        <f t="shared" si="0"/>
        <v>0</v>
      </c>
      <c r="M27" s="192"/>
      <c r="N27" s="193"/>
      <c r="O27" s="192"/>
      <c r="P27" s="194"/>
      <c r="Q27" s="195"/>
      <c r="R27" s="196"/>
      <c r="S27" s="197"/>
      <c r="T27" s="62">
        <f t="shared" si="1"/>
        <v>0</v>
      </c>
      <c r="U27" s="63">
        <f t="shared" si="2"/>
        <v>0</v>
      </c>
      <c r="V27" s="145">
        <f t="shared" si="3"/>
        <v>0</v>
      </c>
      <c r="W27" s="198"/>
      <c r="X27" s="1379"/>
      <c r="Y27" s="1380"/>
      <c r="Z27" s="62">
        <f t="shared" si="4"/>
        <v>0</v>
      </c>
      <c r="AA27" s="146">
        <f t="shared" si="5"/>
        <v>0</v>
      </c>
      <c r="AB27" s="198"/>
      <c r="AC27" s="1379"/>
      <c r="AD27" s="1380"/>
      <c r="AE27" s="62">
        <f t="shared" si="6"/>
        <v>0</v>
      </c>
      <c r="AF27" s="148">
        <f t="shared" si="7"/>
        <v>0</v>
      </c>
      <c r="AG27" s="198"/>
      <c r="AH27" s="1379"/>
      <c r="AI27" s="1380"/>
      <c r="AJ27"/>
      <c r="AK27"/>
      <c r="AL27"/>
      <c r="AM27"/>
      <c r="AN27"/>
    </row>
    <row r="28" spans="1:40" s="66" customFormat="1" ht="14.5">
      <c r="A28" s="186"/>
      <c r="B28" s="187"/>
      <c r="C28" s="188"/>
      <c r="D28" s="188"/>
      <c r="E28" s="189"/>
      <c r="F28" s="190"/>
      <c r="G28" s="190"/>
      <c r="H28" s="189"/>
      <c r="I28" s="189"/>
      <c r="J28" s="191"/>
      <c r="K28" s="191"/>
      <c r="L28" s="61">
        <f t="shared" si="0"/>
        <v>0</v>
      </c>
      <c r="M28" s="192"/>
      <c r="N28" s="193"/>
      <c r="O28" s="192"/>
      <c r="P28" s="194"/>
      <c r="Q28" s="195"/>
      <c r="R28" s="196"/>
      <c r="S28" s="197"/>
      <c r="T28" s="62">
        <f t="shared" si="1"/>
        <v>0</v>
      </c>
      <c r="U28" s="63">
        <f t="shared" si="2"/>
        <v>0</v>
      </c>
      <c r="V28" s="145">
        <f t="shared" si="3"/>
        <v>0</v>
      </c>
      <c r="W28" s="198"/>
      <c r="X28" s="1379"/>
      <c r="Y28" s="1380"/>
      <c r="Z28" s="62">
        <f t="shared" si="4"/>
        <v>0</v>
      </c>
      <c r="AA28" s="146">
        <f t="shared" si="5"/>
        <v>0</v>
      </c>
      <c r="AB28" s="198"/>
      <c r="AC28" s="1379"/>
      <c r="AD28" s="1380"/>
      <c r="AE28" s="62">
        <f t="shared" si="6"/>
        <v>0</v>
      </c>
      <c r="AF28" s="148">
        <f t="shared" si="7"/>
        <v>0</v>
      </c>
      <c r="AG28" s="198"/>
      <c r="AH28" s="1379"/>
      <c r="AI28" s="1380"/>
      <c r="AJ28"/>
      <c r="AK28"/>
      <c r="AL28"/>
      <c r="AM28"/>
      <c r="AN28"/>
    </row>
    <row r="29" spans="1:40" s="66" customFormat="1" ht="14.5">
      <c r="A29" s="186"/>
      <c r="B29" s="187"/>
      <c r="C29" s="188"/>
      <c r="D29" s="188"/>
      <c r="E29" s="189"/>
      <c r="F29" s="190"/>
      <c r="G29" s="190"/>
      <c r="H29" s="189"/>
      <c r="I29" s="189"/>
      <c r="J29" s="191"/>
      <c r="K29" s="191"/>
      <c r="L29" s="61">
        <f t="shared" si="0"/>
        <v>0</v>
      </c>
      <c r="M29" s="192"/>
      <c r="N29" s="193"/>
      <c r="O29" s="192"/>
      <c r="P29" s="194"/>
      <c r="Q29" s="195"/>
      <c r="R29" s="196"/>
      <c r="S29" s="197"/>
      <c r="T29" s="62">
        <f t="shared" si="1"/>
        <v>0</v>
      </c>
      <c r="U29" s="63">
        <f t="shared" si="2"/>
        <v>0</v>
      </c>
      <c r="V29" s="145">
        <f t="shared" si="3"/>
        <v>0</v>
      </c>
      <c r="W29" s="198"/>
      <c r="X29" s="1379"/>
      <c r="Y29" s="1380"/>
      <c r="Z29" s="62">
        <f t="shared" si="4"/>
        <v>0</v>
      </c>
      <c r="AA29" s="146">
        <f t="shared" si="5"/>
        <v>0</v>
      </c>
      <c r="AB29" s="198"/>
      <c r="AC29" s="1379"/>
      <c r="AD29" s="1380"/>
      <c r="AE29" s="62">
        <f t="shared" si="6"/>
        <v>0</v>
      </c>
      <c r="AF29" s="148">
        <f t="shared" si="7"/>
        <v>0</v>
      </c>
      <c r="AG29" s="198"/>
      <c r="AH29" s="1379"/>
      <c r="AI29" s="1380"/>
      <c r="AJ29"/>
      <c r="AK29"/>
      <c r="AL29"/>
      <c r="AM29"/>
      <c r="AN29"/>
    </row>
    <row r="30" spans="1:40" s="66" customFormat="1" ht="14.5">
      <c r="A30" s="186"/>
      <c r="B30" s="187"/>
      <c r="C30" s="188"/>
      <c r="D30" s="188"/>
      <c r="E30" s="189"/>
      <c r="F30" s="190"/>
      <c r="G30" s="190"/>
      <c r="H30" s="189"/>
      <c r="I30" s="189"/>
      <c r="J30" s="191"/>
      <c r="K30" s="191"/>
      <c r="L30" s="61">
        <f t="shared" si="0"/>
        <v>0</v>
      </c>
      <c r="M30" s="192"/>
      <c r="N30" s="193"/>
      <c r="O30" s="192"/>
      <c r="P30" s="194"/>
      <c r="Q30" s="195"/>
      <c r="R30" s="196"/>
      <c r="S30" s="197"/>
      <c r="T30" s="62">
        <f t="shared" si="1"/>
        <v>0</v>
      </c>
      <c r="U30" s="63">
        <f t="shared" si="2"/>
        <v>0</v>
      </c>
      <c r="V30" s="145">
        <f t="shared" si="3"/>
        <v>0</v>
      </c>
      <c r="W30" s="198"/>
      <c r="X30" s="1379"/>
      <c r="Y30" s="1380"/>
      <c r="Z30" s="62">
        <f t="shared" si="4"/>
        <v>0</v>
      </c>
      <c r="AA30" s="146">
        <f t="shared" si="5"/>
        <v>0</v>
      </c>
      <c r="AB30" s="198"/>
      <c r="AC30" s="1379"/>
      <c r="AD30" s="1380"/>
      <c r="AE30" s="62">
        <f t="shared" si="6"/>
        <v>0</v>
      </c>
      <c r="AF30" s="148">
        <f t="shared" si="7"/>
        <v>0</v>
      </c>
      <c r="AG30" s="198"/>
      <c r="AH30" s="1379"/>
      <c r="AI30" s="1380"/>
      <c r="AJ30"/>
      <c r="AK30"/>
      <c r="AL30"/>
      <c r="AM30"/>
      <c r="AN30"/>
    </row>
    <row r="31" spans="1:40" s="66" customFormat="1" ht="14.5">
      <c r="A31" s="186"/>
      <c r="B31" s="187"/>
      <c r="C31" s="188"/>
      <c r="D31" s="188"/>
      <c r="E31" s="189"/>
      <c r="F31" s="190"/>
      <c r="G31" s="190"/>
      <c r="H31" s="189"/>
      <c r="I31" s="189"/>
      <c r="J31" s="191"/>
      <c r="K31" s="191"/>
      <c r="L31" s="61">
        <f t="shared" si="0"/>
        <v>0</v>
      </c>
      <c r="M31" s="192"/>
      <c r="N31" s="193"/>
      <c r="O31" s="192"/>
      <c r="P31" s="194"/>
      <c r="Q31" s="195"/>
      <c r="R31" s="196"/>
      <c r="S31" s="197"/>
      <c r="T31" s="62">
        <f t="shared" si="1"/>
        <v>0</v>
      </c>
      <c r="U31" s="63">
        <f t="shared" si="2"/>
        <v>0</v>
      </c>
      <c r="V31" s="145">
        <f t="shared" si="3"/>
        <v>0</v>
      </c>
      <c r="W31" s="198"/>
      <c r="X31" s="1379"/>
      <c r="Y31" s="1380"/>
      <c r="Z31" s="62">
        <f t="shared" si="4"/>
        <v>0</v>
      </c>
      <c r="AA31" s="146">
        <f t="shared" si="5"/>
        <v>0</v>
      </c>
      <c r="AB31" s="198"/>
      <c r="AC31" s="1379"/>
      <c r="AD31" s="1380"/>
      <c r="AE31" s="62">
        <f t="shared" si="6"/>
        <v>0</v>
      </c>
      <c r="AF31" s="148">
        <f t="shared" si="7"/>
        <v>0</v>
      </c>
      <c r="AG31" s="198"/>
      <c r="AH31" s="1379"/>
      <c r="AI31" s="1380"/>
      <c r="AJ31"/>
      <c r="AK31"/>
      <c r="AL31"/>
      <c r="AM31"/>
      <c r="AN31"/>
    </row>
    <row r="32" spans="1:40" s="66" customFormat="1" ht="14.5">
      <c r="A32" s="186"/>
      <c r="B32" s="187"/>
      <c r="C32" s="188"/>
      <c r="D32" s="188"/>
      <c r="E32" s="189"/>
      <c r="F32" s="190"/>
      <c r="G32" s="190"/>
      <c r="H32" s="189"/>
      <c r="I32" s="189"/>
      <c r="J32" s="191"/>
      <c r="K32" s="191"/>
      <c r="L32" s="61">
        <f t="shared" si="0"/>
        <v>0</v>
      </c>
      <c r="M32" s="192"/>
      <c r="N32" s="193"/>
      <c r="O32" s="192"/>
      <c r="P32" s="194"/>
      <c r="Q32" s="195"/>
      <c r="R32" s="196"/>
      <c r="S32" s="197"/>
      <c r="T32" s="62">
        <f t="shared" si="1"/>
        <v>0</v>
      </c>
      <c r="U32" s="63">
        <f t="shared" si="2"/>
        <v>0</v>
      </c>
      <c r="V32" s="145">
        <f t="shared" si="3"/>
        <v>0</v>
      </c>
      <c r="W32" s="198"/>
      <c r="X32" s="1379"/>
      <c r="Y32" s="1380"/>
      <c r="Z32" s="62">
        <f t="shared" si="4"/>
        <v>0</v>
      </c>
      <c r="AA32" s="146">
        <f t="shared" si="5"/>
        <v>0</v>
      </c>
      <c r="AB32" s="198"/>
      <c r="AC32" s="1379"/>
      <c r="AD32" s="1380"/>
      <c r="AE32" s="62">
        <f t="shared" si="6"/>
        <v>0</v>
      </c>
      <c r="AF32" s="148">
        <f t="shared" si="7"/>
        <v>0</v>
      </c>
      <c r="AG32" s="198"/>
      <c r="AH32" s="1379"/>
      <c r="AI32" s="1380"/>
      <c r="AJ32"/>
      <c r="AK32"/>
      <c r="AL32"/>
      <c r="AM32"/>
      <c r="AN32"/>
    </row>
    <row r="33" spans="1:40" s="66" customFormat="1" ht="14.5">
      <c r="A33" s="186"/>
      <c r="B33" s="187"/>
      <c r="C33" s="188"/>
      <c r="D33" s="188"/>
      <c r="E33" s="189"/>
      <c r="F33" s="190"/>
      <c r="G33" s="190"/>
      <c r="H33" s="189"/>
      <c r="I33" s="189"/>
      <c r="J33" s="191"/>
      <c r="K33" s="191"/>
      <c r="L33" s="61">
        <f t="shared" si="0"/>
        <v>0</v>
      </c>
      <c r="M33" s="192"/>
      <c r="N33" s="193"/>
      <c r="O33" s="192"/>
      <c r="P33" s="194"/>
      <c r="Q33" s="195"/>
      <c r="R33" s="196"/>
      <c r="S33" s="197"/>
      <c r="T33" s="62">
        <f t="shared" si="1"/>
        <v>0</v>
      </c>
      <c r="U33" s="63">
        <f t="shared" si="2"/>
        <v>0</v>
      </c>
      <c r="V33" s="145">
        <f t="shared" si="3"/>
        <v>0</v>
      </c>
      <c r="W33" s="198"/>
      <c r="X33" s="1379"/>
      <c r="Y33" s="1380"/>
      <c r="Z33" s="62">
        <f t="shared" si="4"/>
        <v>0</v>
      </c>
      <c r="AA33" s="146">
        <f t="shared" si="5"/>
        <v>0</v>
      </c>
      <c r="AB33" s="198"/>
      <c r="AC33" s="1379"/>
      <c r="AD33" s="1380"/>
      <c r="AE33" s="62">
        <f t="shared" si="6"/>
        <v>0</v>
      </c>
      <c r="AF33" s="148">
        <f t="shared" si="7"/>
        <v>0</v>
      </c>
      <c r="AG33" s="198"/>
      <c r="AH33" s="1379"/>
      <c r="AI33" s="1380"/>
      <c r="AJ33"/>
      <c r="AK33"/>
      <c r="AL33"/>
      <c r="AM33"/>
      <c r="AN33"/>
    </row>
    <row r="34" spans="1:40" s="66" customFormat="1" ht="14.5">
      <c r="A34" s="186"/>
      <c r="B34" s="187"/>
      <c r="C34" s="188"/>
      <c r="D34" s="188"/>
      <c r="E34" s="189"/>
      <c r="F34" s="190"/>
      <c r="G34" s="190"/>
      <c r="H34" s="189"/>
      <c r="I34" s="189"/>
      <c r="J34" s="191"/>
      <c r="K34" s="191"/>
      <c r="L34" s="61">
        <f t="shared" si="0"/>
        <v>0</v>
      </c>
      <c r="M34" s="192"/>
      <c r="N34" s="193"/>
      <c r="O34" s="192"/>
      <c r="P34" s="194"/>
      <c r="Q34" s="195"/>
      <c r="R34" s="196"/>
      <c r="S34" s="197"/>
      <c r="T34" s="62">
        <f t="shared" si="1"/>
        <v>0</v>
      </c>
      <c r="U34" s="63">
        <f t="shared" si="2"/>
        <v>0</v>
      </c>
      <c r="V34" s="145">
        <f t="shared" si="3"/>
        <v>0</v>
      </c>
      <c r="W34" s="198"/>
      <c r="X34" s="1379"/>
      <c r="Y34" s="1380"/>
      <c r="Z34" s="62">
        <f t="shared" si="4"/>
        <v>0</v>
      </c>
      <c r="AA34" s="146">
        <f t="shared" si="5"/>
        <v>0</v>
      </c>
      <c r="AB34" s="198"/>
      <c r="AC34" s="1379"/>
      <c r="AD34" s="1380"/>
      <c r="AE34" s="62">
        <f t="shared" si="6"/>
        <v>0</v>
      </c>
      <c r="AF34" s="148">
        <f t="shared" si="7"/>
        <v>0</v>
      </c>
      <c r="AG34" s="198"/>
      <c r="AH34" s="1379"/>
      <c r="AI34" s="1380"/>
      <c r="AJ34"/>
      <c r="AK34"/>
      <c r="AL34"/>
      <c r="AM34"/>
      <c r="AN34"/>
    </row>
    <row r="35" spans="1:40" s="66" customFormat="1" ht="14.5">
      <c r="A35" s="186"/>
      <c r="B35" s="187"/>
      <c r="C35" s="188"/>
      <c r="D35" s="188"/>
      <c r="E35" s="189"/>
      <c r="F35" s="190"/>
      <c r="G35" s="190"/>
      <c r="H35" s="189"/>
      <c r="I35" s="189"/>
      <c r="J35" s="191"/>
      <c r="K35" s="191"/>
      <c r="L35" s="61">
        <f t="shared" si="0"/>
        <v>0</v>
      </c>
      <c r="M35" s="192"/>
      <c r="N35" s="193"/>
      <c r="O35" s="192"/>
      <c r="P35" s="194"/>
      <c r="Q35" s="195"/>
      <c r="R35" s="196"/>
      <c r="S35" s="197"/>
      <c r="T35" s="62">
        <f t="shared" si="1"/>
        <v>0</v>
      </c>
      <c r="U35" s="63">
        <f t="shared" si="2"/>
        <v>0</v>
      </c>
      <c r="V35" s="145">
        <f t="shared" si="3"/>
        <v>0</v>
      </c>
      <c r="W35" s="198"/>
      <c r="X35" s="1379"/>
      <c r="Y35" s="1380"/>
      <c r="Z35" s="62">
        <f t="shared" si="4"/>
        <v>0</v>
      </c>
      <c r="AA35" s="146">
        <f t="shared" si="5"/>
        <v>0</v>
      </c>
      <c r="AB35" s="198"/>
      <c r="AC35" s="1379"/>
      <c r="AD35" s="1380"/>
      <c r="AE35" s="62">
        <f t="shared" si="6"/>
        <v>0</v>
      </c>
      <c r="AF35" s="148">
        <f t="shared" si="7"/>
        <v>0</v>
      </c>
      <c r="AG35" s="198"/>
      <c r="AH35" s="1379"/>
      <c r="AI35" s="1380"/>
      <c r="AJ35"/>
      <c r="AK35"/>
      <c r="AL35"/>
      <c r="AM35"/>
      <c r="AN35"/>
    </row>
    <row r="36" spans="1:40" s="66" customFormat="1" ht="14.5">
      <c r="A36" s="186"/>
      <c r="B36" s="187"/>
      <c r="C36" s="188"/>
      <c r="D36" s="188"/>
      <c r="E36" s="189"/>
      <c r="F36" s="190"/>
      <c r="G36" s="190"/>
      <c r="H36" s="189"/>
      <c r="I36" s="189"/>
      <c r="J36" s="191"/>
      <c r="K36" s="191"/>
      <c r="L36" s="61">
        <f t="shared" si="0"/>
        <v>0</v>
      </c>
      <c r="M36" s="192"/>
      <c r="N36" s="193"/>
      <c r="O36" s="192"/>
      <c r="P36" s="194"/>
      <c r="Q36" s="195"/>
      <c r="R36" s="196"/>
      <c r="S36" s="197"/>
      <c r="T36" s="62">
        <f t="shared" si="1"/>
        <v>0</v>
      </c>
      <c r="U36" s="63">
        <f t="shared" si="2"/>
        <v>0</v>
      </c>
      <c r="V36" s="145">
        <f t="shared" si="3"/>
        <v>0</v>
      </c>
      <c r="W36" s="198"/>
      <c r="X36" s="1379"/>
      <c r="Y36" s="1380"/>
      <c r="Z36" s="62">
        <f t="shared" si="4"/>
        <v>0</v>
      </c>
      <c r="AA36" s="146">
        <f t="shared" si="5"/>
        <v>0</v>
      </c>
      <c r="AB36" s="198"/>
      <c r="AC36" s="1379"/>
      <c r="AD36" s="1380"/>
      <c r="AE36" s="62">
        <f t="shared" si="6"/>
        <v>0</v>
      </c>
      <c r="AF36" s="148">
        <f t="shared" si="7"/>
        <v>0</v>
      </c>
      <c r="AG36" s="198"/>
      <c r="AH36" s="1379"/>
      <c r="AI36" s="1380"/>
      <c r="AJ36"/>
      <c r="AK36"/>
      <c r="AL36"/>
      <c r="AM36"/>
      <c r="AN36"/>
    </row>
    <row r="37" spans="1:40" s="66" customFormat="1" ht="14.5">
      <c r="A37" s="186"/>
      <c r="B37" s="187"/>
      <c r="C37" s="188"/>
      <c r="D37" s="188"/>
      <c r="E37" s="189"/>
      <c r="F37" s="190"/>
      <c r="G37" s="190"/>
      <c r="H37" s="189"/>
      <c r="I37" s="189"/>
      <c r="J37" s="191"/>
      <c r="K37" s="191"/>
      <c r="L37" s="61">
        <f t="shared" si="0"/>
        <v>0</v>
      </c>
      <c r="M37" s="192"/>
      <c r="N37" s="193"/>
      <c r="O37" s="192"/>
      <c r="P37" s="194"/>
      <c r="Q37" s="195"/>
      <c r="R37" s="196"/>
      <c r="S37" s="197"/>
      <c r="T37" s="62">
        <f t="shared" si="1"/>
        <v>0</v>
      </c>
      <c r="U37" s="63">
        <f t="shared" si="2"/>
        <v>0</v>
      </c>
      <c r="V37" s="145">
        <f t="shared" si="3"/>
        <v>0</v>
      </c>
      <c r="W37" s="198"/>
      <c r="X37" s="1379"/>
      <c r="Y37" s="1380"/>
      <c r="Z37" s="62">
        <f t="shared" si="4"/>
        <v>0</v>
      </c>
      <c r="AA37" s="146">
        <f t="shared" si="5"/>
        <v>0</v>
      </c>
      <c r="AB37" s="198"/>
      <c r="AC37" s="1379"/>
      <c r="AD37" s="1380"/>
      <c r="AE37" s="62">
        <f t="shared" si="6"/>
        <v>0</v>
      </c>
      <c r="AF37" s="148">
        <f t="shared" si="7"/>
        <v>0</v>
      </c>
      <c r="AG37" s="198"/>
      <c r="AH37" s="1379"/>
      <c r="AI37" s="1380"/>
      <c r="AJ37"/>
      <c r="AK37"/>
      <c r="AL37"/>
      <c r="AM37"/>
      <c r="AN37"/>
    </row>
    <row r="38" spans="1:40" s="66" customFormat="1" ht="14.5">
      <c r="A38" s="186"/>
      <c r="B38" s="187"/>
      <c r="C38" s="188"/>
      <c r="D38" s="188"/>
      <c r="E38" s="189"/>
      <c r="F38" s="190"/>
      <c r="G38" s="190"/>
      <c r="H38" s="189"/>
      <c r="I38" s="189"/>
      <c r="J38" s="191"/>
      <c r="K38" s="191"/>
      <c r="L38" s="61">
        <f t="shared" si="0"/>
        <v>0</v>
      </c>
      <c r="M38" s="192"/>
      <c r="N38" s="193"/>
      <c r="O38" s="192"/>
      <c r="P38" s="194"/>
      <c r="Q38" s="195"/>
      <c r="R38" s="196"/>
      <c r="S38" s="197"/>
      <c r="T38" s="62">
        <f t="shared" si="1"/>
        <v>0</v>
      </c>
      <c r="U38" s="63">
        <f t="shared" si="2"/>
        <v>0</v>
      </c>
      <c r="V38" s="145">
        <f t="shared" si="3"/>
        <v>0</v>
      </c>
      <c r="W38" s="198"/>
      <c r="X38" s="1379"/>
      <c r="Y38" s="1380"/>
      <c r="Z38" s="62">
        <f t="shared" si="4"/>
        <v>0</v>
      </c>
      <c r="AA38" s="146">
        <f t="shared" si="5"/>
        <v>0</v>
      </c>
      <c r="AB38" s="198"/>
      <c r="AC38" s="1379"/>
      <c r="AD38" s="1380"/>
      <c r="AE38" s="62">
        <f t="shared" si="6"/>
        <v>0</v>
      </c>
      <c r="AF38" s="148">
        <f t="shared" si="7"/>
        <v>0</v>
      </c>
      <c r="AG38" s="198"/>
      <c r="AH38" s="1379"/>
      <c r="AI38" s="1380"/>
      <c r="AJ38"/>
      <c r="AK38"/>
      <c r="AL38"/>
      <c r="AM38"/>
      <c r="AN38"/>
    </row>
    <row r="39" spans="1:40" s="66" customFormat="1" ht="14.5">
      <c r="A39" s="186"/>
      <c r="B39" s="187"/>
      <c r="C39" s="188"/>
      <c r="D39" s="188"/>
      <c r="E39" s="189"/>
      <c r="F39" s="190"/>
      <c r="G39" s="190"/>
      <c r="H39" s="189"/>
      <c r="I39" s="189"/>
      <c r="J39" s="191"/>
      <c r="K39" s="191"/>
      <c r="L39" s="61">
        <f t="shared" si="0"/>
        <v>0</v>
      </c>
      <c r="M39" s="192"/>
      <c r="N39" s="193"/>
      <c r="O39" s="192"/>
      <c r="P39" s="194"/>
      <c r="Q39" s="195"/>
      <c r="R39" s="196"/>
      <c r="S39" s="197"/>
      <c r="T39" s="62">
        <f t="shared" si="1"/>
        <v>0</v>
      </c>
      <c r="U39" s="63">
        <f t="shared" si="2"/>
        <v>0</v>
      </c>
      <c r="V39" s="145">
        <f t="shared" si="3"/>
        <v>0</v>
      </c>
      <c r="W39" s="198"/>
      <c r="X39" s="1379"/>
      <c r="Y39" s="1380"/>
      <c r="Z39" s="62">
        <f t="shared" si="4"/>
        <v>0</v>
      </c>
      <c r="AA39" s="146">
        <f t="shared" si="5"/>
        <v>0</v>
      </c>
      <c r="AB39" s="198"/>
      <c r="AC39" s="1379"/>
      <c r="AD39" s="1380"/>
      <c r="AE39" s="62">
        <f t="shared" si="6"/>
        <v>0</v>
      </c>
      <c r="AF39" s="148">
        <f t="shared" si="7"/>
        <v>0</v>
      </c>
      <c r="AG39" s="198"/>
      <c r="AH39" s="1379"/>
      <c r="AI39" s="1380"/>
      <c r="AJ39"/>
      <c r="AK39"/>
      <c r="AL39"/>
      <c r="AM39"/>
      <c r="AN39"/>
    </row>
    <row r="40" spans="1:40" s="66" customFormat="1" ht="14.5">
      <c r="A40" s="186"/>
      <c r="B40" s="187"/>
      <c r="C40" s="188"/>
      <c r="D40" s="188"/>
      <c r="E40" s="189"/>
      <c r="F40" s="190"/>
      <c r="G40" s="190"/>
      <c r="H40" s="189"/>
      <c r="I40" s="189"/>
      <c r="J40" s="191"/>
      <c r="K40" s="191"/>
      <c r="L40" s="61">
        <f t="shared" si="0"/>
        <v>0</v>
      </c>
      <c r="M40" s="192"/>
      <c r="N40" s="193"/>
      <c r="O40" s="192"/>
      <c r="P40" s="194"/>
      <c r="Q40" s="195"/>
      <c r="R40" s="196"/>
      <c r="S40" s="197"/>
      <c r="T40" s="62">
        <f t="shared" si="1"/>
        <v>0</v>
      </c>
      <c r="U40" s="63">
        <f t="shared" si="2"/>
        <v>0</v>
      </c>
      <c r="V40" s="145">
        <f t="shared" si="3"/>
        <v>0</v>
      </c>
      <c r="W40" s="198"/>
      <c r="X40" s="1379"/>
      <c r="Y40" s="1380"/>
      <c r="Z40" s="62">
        <f t="shared" si="4"/>
        <v>0</v>
      </c>
      <c r="AA40" s="146">
        <f t="shared" si="5"/>
        <v>0</v>
      </c>
      <c r="AB40" s="198"/>
      <c r="AC40" s="1379"/>
      <c r="AD40" s="1380"/>
      <c r="AE40" s="62">
        <f t="shared" si="6"/>
        <v>0</v>
      </c>
      <c r="AF40" s="148">
        <f t="shared" si="7"/>
        <v>0</v>
      </c>
      <c r="AG40" s="198"/>
      <c r="AH40" s="1379"/>
      <c r="AI40" s="1380"/>
      <c r="AJ40"/>
      <c r="AK40"/>
      <c r="AL40"/>
      <c r="AM40"/>
      <c r="AN40"/>
    </row>
    <row r="41" spans="1:40" s="66" customFormat="1" ht="14.5">
      <c r="A41" s="186"/>
      <c r="B41" s="187"/>
      <c r="C41" s="188"/>
      <c r="D41" s="188"/>
      <c r="E41" s="189"/>
      <c r="F41" s="190"/>
      <c r="G41" s="190"/>
      <c r="H41" s="189"/>
      <c r="I41" s="189"/>
      <c r="J41" s="191"/>
      <c r="K41" s="191"/>
      <c r="L41" s="61">
        <f t="shared" si="0"/>
        <v>0</v>
      </c>
      <c r="M41" s="192"/>
      <c r="N41" s="193"/>
      <c r="O41" s="192"/>
      <c r="P41" s="194"/>
      <c r="Q41" s="195"/>
      <c r="R41" s="196"/>
      <c r="S41" s="197"/>
      <c r="T41" s="62">
        <f t="shared" si="1"/>
        <v>0</v>
      </c>
      <c r="U41" s="63">
        <f t="shared" si="2"/>
        <v>0</v>
      </c>
      <c r="V41" s="145">
        <f t="shared" si="3"/>
        <v>0</v>
      </c>
      <c r="W41" s="198"/>
      <c r="X41" s="1379"/>
      <c r="Y41" s="1380"/>
      <c r="Z41" s="62">
        <f t="shared" si="4"/>
        <v>0</v>
      </c>
      <c r="AA41" s="146">
        <f t="shared" si="5"/>
        <v>0</v>
      </c>
      <c r="AB41" s="198"/>
      <c r="AC41" s="1379"/>
      <c r="AD41" s="1380"/>
      <c r="AE41" s="62">
        <f t="shared" si="6"/>
        <v>0</v>
      </c>
      <c r="AF41" s="148">
        <f t="shared" si="7"/>
        <v>0</v>
      </c>
      <c r="AG41" s="198"/>
      <c r="AH41" s="1379"/>
      <c r="AI41" s="1380"/>
      <c r="AJ41"/>
      <c r="AK41"/>
      <c r="AL41"/>
      <c r="AM41"/>
      <c r="AN41"/>
    </row>
    <row r="42" spans="1:40" s="66" customFormat="1" ht="14.5">
      <c r="A42" s="186"/>
      <c r="B42" s="187"/>
      <c r="C42" s="188"/>
      <c r="D42" s="188"/>
      <c r="E42" s="189"/>
      <c r="F42" s="190"/>
      <c r="G42" s="190"/>
      <c r="H42" s="189"/>
      <c r="I42" s="189"/>
      <c r="J42" s="191"/>
      <c r="K42" s="191"/>
      <c r="L42" s="61">
        <f t="shared" si="0"/>
        <v>0</v>
      </c>
      <c r="M42" s="192"/>
      <c r="N42" s="193"/>
      <c r="O42" s="192"/>
      <c r="P42" s="194"/>
      <c r="Q42" s="195"/>
      <c r="R42" s="196"/>
      <c r="S42" s="197"/>
      <c r="T42" s="62">
        <f t="shared" si="1"/>
        <v>0</v>
      </c>
      <c r="U42" s="63">
        <f t="shared" si="2"/>
        <v>0</v>
      </c>
      <c r="V42" s="145">
        <f t="shared" si="3"/>
        <v>0</v>
      </c>
      <c r="W42" s="198"/>
      <c r="X42" s="1379"/>
      <c r="Y42" s="1380"/>
      <c r="Z42" s="62">
        <f t="shared" si="4"/>
        <v>0</v>
      </c>
      <c r="AA42" s="146">
        <f t="shared" si="5"/>
        <v>0</v>
      </c>
      <c r="AB42" s="198"/>
      <c r="AC42" s="1379"/>
      <c r="AD42" s="1380"/>
      <c r="AE42" s="62">
        <f t="shared" si="6"/>
        <v>0</v>
      </c>
      <c r="AF42" s="148">
        <f t="shared" si="7"/>
        <v>0</v>
      </c>
      <c r="AG42" s="198"/>
      <c r="AH42" s="1379"/>
      <c r="AI42" s="1380"/>
      <c r="AJ42"/>
      <c r="AK42"/>
      <c r="AL42"/>
      <c r="AM42"/>
      <c r="AN42"/>
    </row>
    <row r="43" spans="1:40" s="66" customFormat="1" ht="14.5">
      <c r="A43" s="186"/>
      <c r="B43" s="187"/>
      <c r="C43" s="188"/>
      <c r="D43" s="188"/>
      <c r="E43" s="189"/>
      <c r="F43" s="190"/>
      <c r="G43" s="190"/>
      <c r="H43" s="189"/>
      <c r="I43" s="189"/>
      <c r="J43" s="191"/>
      <c r="K43" s="191"/>
      <c r="L43" s="61">
        <f t="shared" si="0"/>
        <v>0</v>
      </c>
      <c r="M43" s="192"/>
      <c r="N43" s="193"/>
      <c r="O43" s="192"/>
      <c r="P43" s="194"/>
      <c r="Q43" s="195"/>
      <c r="R43" s="196"/>
      <c r="S43" s="197"/>
      <c r="T43" s="62">
        <f t="shared" si="1"/>
        <v>0</v>
      </c>
      <c r="U43" s="63">
        <f t="shared" si="2"/>
        <v>0</v>
      </c>
      <c r="V43" s="145">
        <f t="shared" si="3"/>
        <v>0</v>
      </c>
      <c r="W43" s="198"/>
      <c r="X43" s="1379"/>
      <c r="Y43" s="1380"/>
      <c r="Z43" s="62">
        <f t="shared" si="4"/>
        <v>0</v>
      </c>
      <c r="AA43" s="146">
        <f t="shared" si="5"/>
        <v>0</v>
      </c>
      <c r="AB43" s="198"/>
      <c r="AC43" s="1379"/>
      <c r="AD43" s="1380"/>
      <c r="AE43" s="62">
        <f t="shared" si="6"/>
        <v>0</v>
      </c>
      <c r="AF43" s="148">
        <f t="shared" si="7"/>
        <v>0</v>
      </c>
      <c r="AG43" s="198"/>
      <c r="AH43" s="1379"/>
      <c r="AI43" s="1380"/>
      <c r="AJ43"/>
      <c r="AK43"/>
      <c r="AL43"/>
      <c r="AM43"/>
      <c r="AN43"/>
    </row>
    <row r="44" spans="1:40" s="66" customFormat="1" ht="14.5">
      <c r="A44" s="186"/>
      <c r="B44" s="187"/>
      <c r="C44" s="188"/>
      <c r="D44" s="188"/>
      <c r="E44" s="189"/>
      <c r="F44" s="190"/>
      <c r="G44" s="190"/>
      <c r="H44" s="189"/>
      <c r="I44" s="189"/>
      <c r="J44" s="191"/>
      <c r="K44" s="191"/>
      <c r="L44" s="61">
        <f t="shared" si="0"/>
        <v>0</v>
      </c>
      <c r="M44" s="192"/>
      <c r="N44" s="193"/>
      <c r="O44" s="192"/>
      <c r="P44" s="194"/>
      <c r="Q44" s="195"/>
      <c r="R44" s="196"/>
      <c r="S44" s="197"/>
      <c r="T44" s="62">
        <f t="shared" si="1"/>
        <v>0</v>
      </c>
      <c r="U44" s="63">
        <f t="shared" si="2"/>
        <v>0</v>
      </c>
      <c r="V44" s="145">
        <f t="shared" si="3"/>
        <v>0</v>
      </c>
      <c r="W44" s="198"/>
      <c r="X44" s="1379"/>
      <c r="Y44" s="1380"/>
      <c r="Z44" s="62">
        <f t="shared" si="4"/>
        <v>0</v>
      </c>
      <c r="AA44" s="146">
        <f t="shared" si="5"/>
        <v>0</v>
      </c>
      <c r="AB44" s="198"/>
      <c r="AC44" s="1379"/>
      <c r="AD44" s="1380"/>
      <c r="AE44" s="62">
        <f t="shared" si="6"/>
        <v>0</v>
      </c>
      <c r="AF44" s="148">
        <f t="shared" si="7"/>
        <v>0</v>
      </c>
      <c r="AG44" s="198"/>
      <c r="AH44" s="1379"/>
      <c r="AI44" s="1380"/>
      <c r="AJ44"/>
      <c r="AK44"/>
      <c r="AL44"/>
      <c r="AM44"/>
      <c r="AN44"/>
    </row>
    <row r="45" spans="1:40" s="66" customFormat="1" ht="14.5">
      <c r="A45" s="186"/>
      <c r="B45" s="187"/>
      <c r="C45" s="188"/>
      <c r="D45" s="188"/>
      <c r="E45" s="189"/>
      <c r="F45" s="190"/>
      <c r="G45" s="190"/>
      <c r="H45" s="189"/>
      <c r="I45" s="189"/>
      <c r="J45" s="191"/>
      <c r="K45" s="191"/>
      <c r="L45" s="61">
        <f t="shared" si="0"/>
        <v>0</v>
      </c>
      <c r="M45" s="192"/>
      <c r="N45" s="193"/>
      <c r="O45" s="192"/>
      <c r="P45" s="194"/>
      <c r="Q45" s="195"/>
      <c r="R45" s="196"/>
      <c r="S45" s="197"/>
      <c r="T45" s="62">
        <f t="shared" si="1"/>
        <v>0</v>
      </c>
      <c r="U45" s="63">
        <f t="shared" si="2"/>
        <v>0</v>
      </c>
      <c r="V45" s="145">
        <f t="shared" si="3"/>
        <v>0</v>
      </c>
      <c r="W45" s="198"/>
      <c r="X45" s="1379"/>
      <c r="Y45" s="1380"/>
      <c r="Z45" s="62">
        <f t="shared" si="4"/>
        <v>0</v>
      </c>
      <c r="AA45" s="146">
        <f t="shared" si="5"/>
        <v>0</v>
      </c>
      <c r="AB45" s="198"/>
      <c r="AC45" s="1379"/>
      <c r="AD45" s="1380"/>
      <c r="AE45" s="62">
        <f t="shared" si="6"/>
        <v>0</v>
      </c>
      <c r="AF45" s="148">
        <f t="shared" si="7"/>
        <v>0</v>
      </c>
      <c r="AG45" s="198"/>
      <c r="AH45" s="1379"/>
      <c r="AI45" s="1380"/>
      <c r="AJ45"/>
      <c r="AK45"/>
      <c r="AL45"/>
      <c r="AM45"/>
      <c r="AN45"/>
    </row>
    <row r="46" spans="1:40" s="66" customFormat="1" ht="14.5">
      <c r="A46" s="186"/>
      <c r="B46" s="187"/>
      <c r="C46" s="188"/>
      <c r="D46" s="188"/>
      <c r="E46" s="189"/>
      <c r="F46" s="190"/>
      <c r="G46" s="190"/>
      <c r="H46" s="189"/>
      <c r="I46" s="189"/>
      <c r="J46" s="191"/>
      <c r="K46" s="191"/>
      <c r="L46" s="61">
        <f t="shared" si="0"/>
        <v>0</v>
      </c>
      <c r="M46" s="192"/>
      <c r="N46" s="193"/>
      <c r="O46" s="192"/>
      <c r="P46" s="194"/>
      <c r="Q46" s="195"/>
      <c r="R46" s="196"/>
      <c r="S46" s="197"/>
      <c r="T46" s="62">
        <f t="shared" si="1"/>
        <v>0</v>
      </c>
      <c r="U46" s="63">
        <f t="shared" si="2"/>
        <v>0</v>
      </c>
      <c r="V46" s="145">
        <f t="shared" si="3"/>
        <v>0</v>
      </c>
      <c r="W46" s="198"/>
      <c r="X46" s="1379"/>
      <c r="Y46" s="1380"/>
      <c r="Z46" s="62">
        <f t="shared" si="4"/>
        <v>0</v>
      </c>
      <c r="AA46" s="146">
        <f t="shared" si="5"/>
        <v>0</v>
      </c>
      <c r="AB46" s="198"/>
      <c r="AC46" s="1379"/>
      <c r="AD46" s="1380"/>
      <c r="AE46" s="62">
        <f t="shared" si="6"/>
        <v>0</v>
      </c>
      <c r="AF46" s="148">
        <f t="shared" si="7"/>
        <v>0</v>
      </c>
      <c r="AG46" s="198"/>
      <c r="AH46" s="1379"/>
      <c r="AI46" s="1380"/>
      <c r="AJ46"/>
      <c r="AK46"/>
      <c r="AL46"/>
      <c r="AM46"/>
      <c r="AN46"/>
    </row>
    <row r="47" spans="1:40" s="66" customFormat="1" ht="14.5">
      <c r="A47" s="186"/>
      <c r="B47" s="187"/>
      <c r="C47" s="188"/>
      <c r="D47" s="188"/>
      <c r="E47" s="189"/>
      <c r="F47" s="190"/>
      <c r="G47" s="190"/>
      <c r="H47" s="189"/>
      <c r="I47" s="189"/>
      <c r="J47" s="191"/>
      <c r="K47" s="191"/>
      <c r="L47" s="61">
        <f t="shared" si="0"/>
        <v>0</v>
      </c>
      <c r="M47" s="192"/>
      <c r="N47" s="193"/>
      <c r="O47" s="192"/>
      <c r="P47" s="194"/>
      <c r="Q47" s="195"/>
      <c r="R47" s="196"/>
      <c r="S47" s="197"/>
      <c r="T47" s="62">
        <f t="shared" si="1"/>
        <v>0</v>
      </c>
      <c r="U47" s="63">
        <f t="shared" si="2"/>
        <v>0</v>
      </c>
      <c r="V47" s="145">
        <f t="shared" si="3"/>
        <v>0</v>
      </c>
      <c r="W47" s="198"/>
      <c r="X47" s="1379"/>
      <c r="Y47" s="1380"/>
      <c r="Z47" s="62">
        <f t="shared" si="4"/>
        <v>0</v>
      </c>
      <c r="AA47" s="146">
        <f t="shared" si="5"/>
        <v>0</v>
      </c>
      <c r="AB47" s="198"/>
      <c r="AC47" s="1379"/>
      <c r="AD47" s="1380"/>
      <c r="AE47" s="62">
        <f t="shared" si="6"/>
        <v>0</v>
      </c>
      <c r="AF47" s="148">
        <f t="shared" si="7"/>
        <v>0</v>
      </c>
      <c r="AG47" s="198"/>
      <c r="AH47" s="1379"/>
      <c r="AI47" s="1380"/>
      <c r="AJ47"/>
      <c r="AK47"/>
      <c r="AL47"/>
      <c r="AM47"/>
      <c r="AN47"/>
    </row>
    <row r="48" spans="1:40" s="66" customFormat="1" ht="14.5">
      <c r="A48" s="186"/>
      <c r="B48" s="187"/>
      <c r="C48" s="188"/>
      <c r="D48" s="188"/>
      <c r="E48" s="189"/>
      <c r="F48" s="190"/>
      <c r="G48" s="190"/>
      <c r="H48" s="189"/>
      <c r="I48" s="189"/>
      <c r="J48" s="191"/>
      <c r="K48" s="191"/>
      <c r="L48" s="61">
        <f t="shared" si="0"/>
        <v>0</v>
      </c>
      <c r="M48" s="192"/>
      <c r="N48" s="193"/>
      <c r="O48" s="192"/>
      <c r="P48" s="194"/>
      <c r="Q48" s="195"/>
      <c r="R48" s="196"/>
      <c r="S48" s="197"/>
      <c r="T48" s="62">
        <f t="shared" si="1"/>
        <v>0</v>
      </c>
      <c r="U48" s="63">
        <f t="shared" si="2"/>
        <v>0</v>
      </c>
      <c r="V48" s="145">
        <f t="shared" si="3"/>
        <v>0</v>
      </c>
      <c r="W48" s="198"/>
      <c r="X48" s="1379"/>
      <c r="Y48" s="1380"/>
      <c r="Z48" s="62">
        <f t="shared" si="4"/>
        <v>0</v>
      </c>
      <c r="AA48" s="146">
        <f t="shared" si="5"/>
        <v>0</v>
      </c>
      <c r="AB48" s="198"/>
      <c r="AC48" s="1379"/>
      <c r="AD48" s="1380"/>
      <c r="AE48" s="62">
        <f t="shared" si="6"/>
        <v>0</v>
      </c>
      <c r="AF48" s="148">
        <f t="shared" si="7"/>
        <v>0</v>
      </c>
      <c r="AG48" s="198"/>
      <c r="AH48" s="1379"/>
      <c r="AI48" s="1380"/>
      <c r="AJ48"/>
      <c r="AK48"/>
      <c r="AL48"/>
      <c r="AM48"/>
      <c r="AN48"/>
    </row>
    <row r="49" spans="1:40" s="66" customFormat="1" ht="14.5">
      <c r="A49" s="186"/>
      <c r="B49" s="187"/>
      <c r="C49" s="188"/>
      <c r="D49" s="188"/>
      <c r="E49" s="189"/>
      <c r="F49" s="190"/>
      <c r="G49" s="190"/>
      <c r="H49" s="189"/>
      <c r="I49" s="189"/>
      <c r="J49" s="191"/>
      <c r="K49" s="191"/>
      <c r="L49" s="61">
        <f t="shared" si="0"/>
        <v>0</v>
      </c>
      <c r="M49" s="192"/>
      <c r="N49" s="193"/>
      <c r="O49" s="192"/>
      <c r="P49" s="194"/>
      <c r="Q49" s="195"/>
      <c r="R49" s="196"/>
      <c r="S49" s="197"/>
      <c r="T49" s="62">
        <f t="shared" si="1"/>
        <v>0</v>
      </c>
      <c r="U49" s="63">
        <f t="shared" si="2"/>
        <v>0</v>
      </c>
      <c r="V49" s="145">
        <f t="shared" si="3"/>
        <v>0</v>
      </c>
      <c r="W49" s="198"/>
      <c r="X49" s="1379"/>
      <c r="Y49" s="1380"/>
      <c r="Z49" s="62">
        <f t="shared" si="4"/>
        <v>0</v>
      </c>
      <c r="AA49" s="146">
        <f t="shared" si="5"/>
        <v>0</v>
      </c>
      <c r="AB49" s="198"/>
      <c r="AC49" s="1379"/>
      <c r="AD49" s="1380"/>
      <c r="AE49" s="62">
        <f t="shared" si="6"/>
        <v>0</v>
      </c>
      <c r="AF49" s="148">
        <f t="shared" si="7"/>
        <v>0</v>
      </c>
      <c r="AG49" s="198"/>
      <c r="AH49" s="1379"/>
      <c r="AI49" s="1380"/>
      <c r="AJ49"/>
      <c r="AK49"/>
      <c r="AL49"/>
      <c r="AM49"/>
      <c r="AN49"/>
    </row>
    <row r="50" spans="1:40" s="66" customFormat="1" ht="14.5">
      <c r="A50" s="186"/>
      <c r="B50" s="187"/>
      <c r="C50" s="188"/>
      <c r="D50" s="188"/>
      <c r="E50" s="189"/>
      <c r="F50" s="190"/>
      <c r="G50" s="190"/>
      <c r="H50" s="189"/>
      <c r="I50" s="189"/>
      <c r="J50" s="191"/>
      <c r="K50" s="191"/>
      <c r="L50" s="61">
        <f t="shared" si="0"/>
        <v>0</v>
      </c>
      <c r="M50" s="192"/>
      <c r="N50" s="193"/>
      <c r="O50" s="192"/>
      <c r="P50" s="194"/>
      <c r="Q50" s="195"/>
      <c r="R50" s="196"/>
      <c r="S50" s="197"/>
      <c r="T50" s="62">
        <f t="shared" si="1"/>
        <v>0</v>
      </c>
      <c r="U50" s="63">
        <f t="shared" si="2"/>
        <v>0</v>
      </c>
      <c r="V50" s="145">
        <f t="shared" si="3"/>
        <v>0</v>
      </c>
      <c r="W50" s="198"/>
      <c r="X50" s="1379"/>
      <c r="Y50" s="1380"/>
      <c r="Z50" s="62">
        <f t="shared" si="4"/>
        <v>0</v>
      </c>
      <c r="AA50" s="146">
        <f t="shared" si="5"/>
        <v>0</v>
      </c>
      <c r="AB50" s="198"/>
      <c r="AC50" s="1379"/>
      <c r="AD50" s="1380"/>
      <c r="AE50" s="62">
        <f t="shared" si="6"/>
        <v>0</v>
      </c>
      <c r="AF50" s="148">
        <f t="shared" si="7"/>
        <v>0</v>
      </c>
      <c r="AG50" s="198"/>
      <c r="AH50" s="1379"/>
      <c r="AI50" s="1380"/>
      <c r="AJ50"/>
      <c r="AK50"/>
      <c r="AL50"/>
      <c r="AM50"/>
      <c r="AN50"/>
    </row>
    <row r="51" spans="1:40" s="66" customFormat="1" ht="14.5">
      <c r="A51" s="186"/>
      <c r="B51" s="187"/>
      <c r="C51" s="188"/>
      <c r="D51" s="188"/>
      <c r="E51" s="189"/>
      <c r="F51" s="190"/>
      <c r="G51" s="190"/>
      <c r="H51" s="189"/>
      <c r="I51" s="189"/>
      <c r="J51" s="191"/>
      <c r="K51" s="191"/>
      <c r="L51" s="61">
        <f t="shared" si="0"/>
        <v>0</v>
      </c>
      <c r="M51" s="192"/>
      <c r="N51" s="193"/>
      <c r="O51" s="192"/>
      <c r="P51" s="194"/>
      <c r="Q51" s="195"/>
      <c r="R51" s="196"/>
      <c r="S51" s="197"/>
      <c r="T51" s="62">
        <f t="shared" si="1"/>
        <v>0</v>
      </c>
      <c r="U51" s="63">
        <f t="shared" si="2"/>
        <v>0</v>
      </c>
      <c r="V51" s="145">
        <f t="shared" si="3"/>
        <v>0</v>
      </c>
      <c r="W51" s="198"/>
      <c r="X51" s="1379"/>
      <c r="Y51" s="1380"/>
      <c r="Z51" s="62">
        <f t="shared" si="4"/>
        <v>0</v>
      </c>
      <c r="AA51" s="146">
        <f t="shared" si="5"/>
        <v>0</v>
      </c>
      <c r="AB51" s="198"/>
      <c r="AC51" s="1379"/>
      <c r="AD51" s="1380"/>
      <c r="AE51" s="62">
        <f t="shared" si="6"/>
        <v>0</v>
      </c>
      <c r="AF51" s="148">
        <f t="shared" si="7"/>
        <v>0</v>
      </c>
      <c r="AG51" s="198"/>
      <c r="AH51" s="1379"/>
      <c r="AI51" s="1380"/>
      <c r="AJ51"/>
      <c r="AK51"/>
      <c r="AL51"/>
      <c r="AM51"/>
      <c r="AN51"/>
    </row>
    <row r="52" spans="1:40" s="66" customFormat="1" ht="14.5">
      <c r="A52" s="186"/>
      <c r="B52" s="187"/>
      <c r="C52" s="188"/>
      <c r="D52" s="188"/>
      <c r="E52" s="189"/>
      <c r="F52" s="190"/>
      <c r="G52" s="190"/>
      <c r="H52" s="189"/>
      <c r="I52" s="189"/>
      <c r="J52" s="191"/>
      <c r="K52" s="191"/>
      <c r="L52" s="61">
        <f t="shared" si="0"/>
        <v>0</v>
      </c>
      <c r="M52" s="192"/>
      <c r="N52" s="193"/>
      <c r="O52" s="192"/>
      <c r="P52" s="194"/>
      <c r="Q52" s="195"/>
      <c r="R52" s="196"/>
      <c r="S52" s="197"/>
      <c r="T52" s="62">
        <f t="shared" si="1"/>
        <v>0</v>
      </c>
      <c r="U52" s="63">
        <f t="shared" si="2"/>
        <v>0</v>
      </c>
      <c r="V52" s="145">
        <f t="shared" si="3"/>
        <v>0</v>
      </c>
      <c r="W52" s="198"/>
      <c r="X52" s="1379"/>
      <c r="Y52" s="1380"/>
      <c r="Z52" s="62">
        <f t="shared" si="4"/>
        <v>0</v>
      </c>
      <c r="AA52" s="146">
        <f t="shared" si="5"/>
        <v>0</v>
      </c>
      <c r="AB52" s="198"/>
      <c r="AC52" s="1379"/>
      <c r="AD52" s="1380"/>
      <c r="AE52" s="62">
        <f t="shared" si="6"/>
        <v>0</v>
      </c>
      <c r="AF52" s="148">
        <f t="shared" si="7"/>
        <v>0</v>
      </c>
      <c r="AG52" s="198"/>
      <c r="AH52" s="1379"/>
      <c r="AI52" s="1380"/>
      <c r="AJ52"/>
      <c r="AK52"/>
      <c r="AL52"/>
      <c r="AM52"/>
      <c r="AN52"/>
    </row>
    <row r="53" spans="1:40" s="66" customFormat="1" ht="14.5">
      <c r="A53" s="186"/>
      <c r="B53" s="187"/>
      <c r="C53" s="188"/>
      <c r="D53" s="188"/>
      <c r="E53" s="189"/>
      <c r="F53" s="190"/>
      <c r="G53" s="190"/>
      <c r="H53" s="189"/>
      <c r="I53" s="189"/>
      <c r="J53" s="191"/>
      <c r="K53" s="191"/>
      <c r="L53" s="61">
        <f t="shared" si="0"/>
        <v>0</v>
      </c>
      <c r="M53" s="192"/>
      <c r="N53" s="193"/>
      <c r="O53" s="192"/>
      <c r="P53" s="194"/>
      <c r="Q53" s="195"/>
      <c r="R53" s="196"/>
      <c r="S53" s="197"/>
      <c r="T53" s="62">
        <f t="shared" si="1"/>
        <v>0</v>
      </c>
      <c r="U53" s="63">
        <f t="shared" si="2"/>
        <v>0</v>
      </c>
      <c r="V53" s="145">
        <f t="shared" si="3"/>
        <v>0</v>
      </c>
      <c r="W53" s="198"/>
      <c r="X53" s="1379"/>
      <c r="Y53" s="1380"/>
      <c r="Z53" s="62">
        <f t="shared" si="4"/>
        <v>0</v>
      </c>
      <c r="AA53" s="146">
        <f t="shared" si="5"/>
        <v>0</v>
      </c>
      <c r="AB53" s="198"/>
      <c r="AC53" s="1379"/>
      <c r="AD53" s="1380"/>
      <c r="AE53" s="62">
        <f t="shared" si="6"/>
        <v>0</v>
      </c>
      <c r="AF53" s="148">
        <f t="shared" si="7"/>
        <v>0</v>
      </c>
      <c r="AG53" s="198"/>
      <c r="AH53" s="1379"/>
      <c r="AI53" s="1380"/>
      <c r="AJ53"/>
      <c r="AK53"/>
      <c r="AL53"/>
      <c r="AM53"/>
      <c r="AN53"/>
    </row>
    <row r="54" spans="1:40" s="66" customFormat="1" ht="14.5">
      <c r="A54" s="186"/>
      <c r="B54" s="187"/>
      <c r="C54" s="188"/>
      <c r="D54" s="188"/>
      <c r="E54" s="189"/>
      <c r="F54" s="190"/>
      <c r="G54" s="190"/>
      <c r="H54" s="189"/>
      <c r="I54" s="189"/>
      <c r="J54" s="191"/>
      <c r="K54" s="191"/>
      <c r="L54" s="61">
        <f t="shared" si="0"/>
        <v>0</v>
      </c>
      <c r="M54" s="192"/>
      <c r="N54" s="193"/>
      <c r="O54" s="192"/>
      <c r="P54" s="194"/>
      <c r="Q54" s="195"/>
      <c r="R54" s="196"/>
      <c r="S54" s="197"/>
      <c r="T54" s="62">
        <f t="shared" si="1"/>
        <v>0</v>
      </c>
      <c r="U54" s="63">
        <f t="shared" si="2"/>
        <v>0</v>
      </c>
      <c r="V54" s="145">
        <f t="shared" si="3"/>
        <v>0</v>
      </c>
      <c r="W54" s="198"/>
      <c r="X54" s="1379"/>
      <c r="Y54" s="1380"/>
      <c r="Z54" s="62">
        <f t="shared" si="4"/>
        <v>0</v>
      </c>
      <c r="AA54" s="146">
        <f t="shared" si="5"/>
        <v>0</v>
      </c>
      <c r="AB54" s="198"/>
      <c r="AC54" s="1379"/>
      <c r="AD54" s="1380"/>
      <c r="AE54" s="62">
        <f t="shared" si="6"/>
        <v>0</v>
      </c>
      <c r="AF54" s="148">
        <f t="shared" si="7"/>
        <v>0</v>
      </c>
      <c r="AG54" s="198"/>
      <c r="AH54" s="1379"/>
      <c r="AI54" s="1380"/>
      <c r="AJ54"/>
      <c r="AK54"/>
      <c r="AL54"/>
      <c r="AM54"/>
      <c r="AN54"/>
    </row>
    <row r="55" spans="1:40" s="66" customFormat="1" ht="14.5">
      <c r="A55" s="186"/>
      <c r="B55" s="187"/>
      <c r="C55" s="188"/>
      <c r="D55" s="188"/>
      <c r="E55" s="189"/>
      <c r="F55" s="190"/>
      <c r="G55" s="190"/>
      <c r="H55" s="189"/>
      <c r="I55" s="189"/>
      <c r="J55" s="191"/>
      <c r="K55" s="191"/>
      <c r="L55" s="61">
        <f t="shared" si="0"/>
        <v>0</v>
      </c>
      <c r="M55" s="192"/>
      <c r="N55" s="193"/>
      <c r="O55" s="192"/>
      <c r="P55" s="194"/>
      <c r="Q55" s="195"/>
      <c r="R55" s="196"/>
      <c r="S55" s="197"/>
      <c r="T55" s="62">
        <f t="shared" si="1"/>
        <v>0</v>
      </c>
      <c r="U55" s="63">
        <f t="shared" si="2"/>
        <v>0</v>
      </c>
      <c r="V55" s="145">
        <f t="shared" si="3"/>
        <v>0</v>
      </c>
      <c r="W55" s="198"/>
      <c r="X55" s="1379"/>
      <c r="Y55" s="1380"/>
      <c r="Z55" s="62">
        <f t="shared" si="4"/>
        <v>0</v>
      </c>
      <c r="AA55" s="146">
        <f t="shared" si="5"/>
        <v>0</v>
      </c>
      <c r="AB55" s="198"/>
      <c r="AC55" s="1379"/>
      <c r="AD55" s="1380"/>
      <c r="AE55" s="62">
        <f t="shared" si="6"/>
        <v>0</v>
      </c>
      <c r="AF55" s="148">
        <f t="shared" si="7"/>
        <v>0</v>
      </c>
      <c r="AG55" s="198"/>
      <c r="AH55" s="1379"/>
      <c r="AI55" s="1380"/>
      <c r="AJ55"/>
      <c r="AK55"/>
      <c r="AL55"/>
      <c r="AM55"/>
      <c r="AN55"/>
    </row>
    <row r="56" spans="1:40" s="66" customFormat="1" ht="14.5">
      <c r="A56" s="186"/>
      <c r="B56" s="187"/>
      <c r="C56" s="188"/>
      <c r="D56" s="188"/>
      <c r="E56" s="189"/>
      <c r="F56" s="190"/>
      <c r="G56" s="190"/>
      <c r="H56" s="189"/>
      <c r="I56" s="189"/>
      <c r="J56" s="191"/>
      <c r="K56" s="191"/>
      <c r="L56" s="61">
        <f t="shared" si="0"/>
        <v>0</v>
      </c>
      <c r="M56" s="192"/>
      <c r="N56" s="193"/>
      <c r="O56" s="192"/>
      <c r="P56" s="194"/>
      <c r="Q56" s="195"/>
      <c r="R56" s="196"/>
      <c r="S56" s="197"/>
      <c r="T56" s="62">
        <f t="shared" si="1"/>
        <v>0</v>
      </c>
      <c r="U56" s="63">
        <f t="shared" si="2"/>
        <v>0</v>
      </c>
      <c r="V56" s="145">
        <f t="shared" si="3"/>
        <v>0</v>
      </c>
      <c r="W56" s="198"/>
      <c r="X56" s="1379"/>
      <c r="Y56" s="1380"/>
      <c r="Z56" s="62">
        <f t="shared" si="4"/>
        <v>0</v>
      </c>
      <c r="AA56" s="146">
        <f t="shared" si="5"/>
        <v>0</v>
      </c>
      <c r="AB56" s="198"/>
      <c r="AC56" s="1379"/>
      <c r="AD56" s="1380"/>
      <c r="AE56" s="62">
        <f t="shared" si="6"/>
        <v>0</v>
      </c>
      <c r="AF56" s="148">
        <f t="shared" si="7"/>
        <v>0</v>
      </c>
      <c r="AG56" s="198"/>
      <c r="AH56" s="1379"/>
      <c r="AI56" s="1380"/>
      <c r="AJ56"/>
      <c r="AK56"/>
      <c r="AL56"/>
      <c r="AM56"/>
      <c r="AN56"/>
    </row>
    <row r="57" spans="1:40" s="66" customFormat="1" ht="14.5">
      <c r="A57" s="186"/>
      <c r="B57" s="187"/>
      <c r="C57" s="188"/>
      <c r="D57" s="188"/>
      <c r="E57" s="189"/>
      <c r="F57" s="190"/>
      <c r="G57" s="190"/>
      <c r="H57" s="189"/>
      <c r="I57" s="189"/>
      <c r="J57" s="191"/>
      <c r="K57" s="191"/>
      <c r="L57" s="61">
        <f t="shared" si="0"/>
        <v>0</v>
      </c>
      <c r="M57" s="192"/>
      <c r="N57" s="193"/>
      <c r="O57" s="192"/>
      <c r="P57" s="194"/>
      <c r="Q57" s="195"/>
      <c r="R57" s="196"/>
      <c r="S57" s="197"/>
      <c r="T57" s="62">
        <f t="shared" si="1"/>
        <v>0</v>
      </c>
      <c r="U57" s="63">
        <f t="shared" si="2"/>
        <v>0</v>
      </c>
      <c r="V57" s="145">
        <f t="shared" si="3"/>
        <v>0</v>
      </c>
      <c r="W57" s="198"/>
      <c r="X57" s="1379"/>
      <c r="Y57" s="1380"/>
      <c r="Z57" s="62">
        <f t="shared" si="4"/>
        <v>0</v>
      </c>
      <c r="AA57" s="146">
        <f t="shared" si="5"/>
        <v>0</v>
      </c>
      <c r="AB57" s="198"/>
      <c r="AC57" s="1379"/>
      <c r="AD57" s="1380"/>
      <c r="AE57" s="62">
        <f t="shared" si="6"/>
        <v>0</v>
      </c>
      <c r="AF57" s="148">
        <f t="shared" si="7"/>
        <v>0</v>
      </c>
      <c r="AG57" s="198"/>
      <c r="AH57" s="1379"/>
      <c r="AI57" s="1380"/>
      <c r="AJ57"/>
      <c r="AK57"/>
      <c r="AL57"/>
      <c r="AM57"/>
      <c r="AN57"/>
    </row>
    <row r="58" spans="1:40" s="66" customFormat="1" ht="14.5">
      <c r="A58" s="186"/>
      <c r="B58" s="187"/>
      <c r="C58" s="188"/>
      <c r="D58" s="188"/>
      <c r="E58" s="189"/>
      <c r="F58" s="190"/>
      <c r="G58" s="190"/>
      <c r="H58" s="189"/>
      <c r="I58" s="189"/>
      <c r="J58" s="191"/>
      <c r="K58" s="191"/>
      <c r="L58" s="61">
        <f t="shared" si="0"/>
        <v>0</v>
      </c>
      <c r="M58" s="192"/>
      <c r="N58" s="193"/>
      <c r="O58" s="192"/>
      <c r="P58" s="194"/>
      <c r="Q58" s="195"/>
      <c r="R58" s="196"/>
      <c r="S58" s="197"/>
      <c r="T58" s="62">
        <f t="shared" si="1"/>
        <v>0</v>
      </c>
      <c r="U58" s="63">
        <f t="shared" si="2"/>
        <v>0</v>
      </c>
      <c r="V58" s="145">
        <f t="shared" si="3"/>
        <v>0</v>
      </c>
      <c r="W58" s="198"/>
      <c r="X58" s="1379"/>
      <c r="Y58" s="1380"/>
      <c r="Z58" s="62">
        <f t="shared" si="4"/>
        <v>0</v>
      </c>
      <c r="AA58" s="146">
        <f t="shared" si="5"/>
        <v>0</v>
      </c>
      <c r="AB58" s="198"/>
      <c r="AC58" s="1379"/>
      <c r="AD58" s="1380"/>
      <c r="AE58" s="62">
        <f t="shared" si="6"/>
        <v>0</v>
      </c>
      <c r="AF58" s="148">
        <f t="shared" si="7"/>
        <v>0</v>
      </c>
      <c r="AG58" s="198"/>
      <c r="AH58" s="1379"/>
      <c r="AI58" s="1380"/>
      <c r="AJ58"/>
      <c r="AK58"/>
      <c r="AL58"/>
      <c r="AM58"/>
      <c r="AN58"/>
    </row>
    <row r="59" spans="1:40" s="66" customFormat="1" ht="14.5">
      <c r="A59" s="186"/>
      <c r="B59" s="187"/>
      <c r="C59" s="188"/>
      <c r="D59" s="188"/>
      <c r="E59" s="189"/>
      <c r="F59" s="190"/>
      <c r="G59" s="190"/>
      <c r="H59" s="189"/>
      <c r="I59" s="189"/>
      <c r="J59" s="191"/>
      <c r="K59" s="191"/>
      <c r="L59" s="61">
        <f t="shared" si="0"/>
        <v>0</v>
      </c>
      <c r="M59" s="192"/>
      <c r="N59" s="193"/>
      <c r="O59" s="192"/>
      <c r="P59" s="194"/>
      <c r="Q59" s="195"/>
      <c r="R59" s="196"/>
      <c r="S59" s="197"/>
      <c r="T59" s="62">
        <f t="shared" si="1"/>
        <v>0</v>
      </c>
      <c r="U59" s="63">
        <f t="shared" si="2"/>
        <v>0</v>
      </c>
      <c r="V59" s="145">
        <f t="shared" si="3"/>
        <v>0</v>
      </c>
      <c r="W59" s="198"/>
      <c r="X59" s="1379"/>
      <c r="Y59" s="1380"/>
      <c r="Z59" s="62">
        <f t="shared" si="4"/>
        <v>0</v>
      </c>
      <c r="AA59" s="146">
        <f t="shared" si="5"/>
        <v>0</v>
      </c>
      <c r="AB59" s="198"/>
      <c r="AC59" s="1379"/>
      <c r="AD59" s="1380"/>
      <c r="AE59" s="62">
        <f t="shared" si="6"/>
        <v>0</v>
      </c>
      <c r="AF59" s="148">
        <f t="shared" si="7"/>
        <v>0</v>
      </c>
      <c r="AG59" s="198"/>
      <c r="AH59" s="1379"/>
      <c r="AI59" s="1380"/>
      <c r="AJ59"/>
      <c r="AK59"/>
      <c r="AL59"/>
      <c r="AM59"/>
      <c r="AN59"/>
    </row>
    <row r="60" spans="1:40" s="66" customFormat="1" ht="14.5">
      <c r="A60" s="186"/>
      <c r="B60" s="187"/>
      <c r="C60" s="188"/>
      <c r="D60" s="188"/>
      <c r="E60" s="189"/>
      <c r="F60" s="190"/>
      <c r="G60" s="190"/>
      <c r="H60" s="189"/>
      <c r="I60" s="189"/>
      <c r="J60" s="191"/>
      <c r="K60" s="191"/>
      <c r="L60" s="61">
        <f t="shared" si="0"/>
        <v>0</v>
      </c>
      <c r="M60" s="192"/>
      <c r="N60" s="193"/>
      <c r="O60" s="192"/>
      <c r="P60" s="194"/>
      <c r="Q60" s="195"/>
      <c r="R60" s="196"/>
      <c r="S60" s="197"/>
      <c r="T60" s="62">
        <f t="shared" si="1"/>
        <v>0</v>
      </c>
      <c r="U60" s="63">
        <f t="shared" si="2"/>
        <v>0</v>
      </c>
      <c r="V60" s="145">
        <f t="shared" si="3"/>
        <v>0</v>
      </c>
      <c r="W60" s="198"/>
      <c r="X60" s="1379"/>
      <c r="Y60" s="1380"/>
      <c r="Z60" s="62">
        <f t="shared" si="4"/>
        <v>0</v>
      </c>
      <c r="AA60" s="146">
        <f t="shared" si="5"/>
        <v>0</v>
      </c>
      <c r="AB60" s="198"/>
      <c r="AC60" s="1379"/>
      <c r="AD60" s="1380"/>
      <c r="AE60" s="62">
        <f t="shared" si="6"/>
        <v>0</v>
      </c>
      <c r="AF60" s="148">
        <f t="shared" si="7"/>
        <v>0</v>
      </c>
      <c r="AG60" s="198"/>
      <c r="AH60" s="1379"/>
      <c r="AI60" s="1380"/>
      <c r="AJ60"/>
      <c r="AK60"/>
      <c r="AL60"/>
      <c r="AM60"/>
      <c r="AN60"/>
    </row>
    <row r="61" spans="1:40" s="66" customFormat="1" ht="14.5">
      <c r="A61" s="186"/>
      <c r="B61" s="187"/>
      <c r="C61" s="188"/>
      <c r="D61" s="188"/>
      <c r="E61" s="189"/>
      <c r="F61" s="190"/>
      <c r="G61" s="190"/>
      <c r="H61" s="189"/>
      <c r="I61" s="189"/>
      <c r="J61" s="191"/>
      <c r="K61" s="191"/>
      <c r="L61" s="61">
        <f t="shared" si="0"/>
        <v>0</v>
      </c>
      <c r="M61" s="192"/>
      <c r="N61" s="193"/>
      <c r="O61" s="192"/>
      <c r="P61" s="194"/>
      <c r="Q61" s="195"/>
      <c r="R61" s="196"/>
      <c r="S61" s="197"/>
      <c r="T61" s="62">
        <f t="shared" si="1"/>
        <v>0</v>
      </c>
      <c r="U61" s="63">
        <f t="shared" si="2"/>
        <v>0</v>
      </c>
      <c r="V61" s="145">
        <f t="shared" si="3"/>
        <v>0</v>
      </c>
      <c r="W61" s="198"/>
      <c r="X61" s="1379"/>
      <c r="Y61" s="1380"/>
      <c r="Z61" s="62">
        <f t="shared" si="4"/>
        <v>0</v>
      </c>
      <c r="AA61" s="146">
        <f t="shared" si="5"/>
        <v>0</v>
      </c>
      <c r="AB61" s="198"/>
      <c r="AC61" s="1379"/>
      <c r="AD61" s="1380"/>
      <c r="AE61" s="62">
        <f t="shared" si="6"/>
        <v>0</v>
      </c>
      <c r="AF61" s="148">
        <f t="shared" si="7"/>
        <v>0</v>
      </c>
      <c r="AG61" s="198"/>
      <c r="AH61" s="1379"/>
      <c r="AI61" s="1380"/>
      <c r="AJ61"/>
      <c r="AK61"/>
      <c r="AL61"/>
      <c r="AM61"/>
      <c r="AN61"/>
    </row>
    <row r="62" spans="1:40" s="66" customFormat="1" ht="14.5">
      <c r="A62" s="186"/>
      <c r="B62" s="187"/>
      <c r="C62" s="188"/>
      <c r="D62" s="188"/>
      <c r="E62" s="189"/>
      <c r="F62" s="190"/>
      <c r="G62" s="190"/>
      <c r="H62" s="189"/>
      <c r="I62" s="189"/>
      <c r="J62" s="191"/>
      <c r="K62" s="191"/>
      <c r="L62" s="61">
        <f t="shared" si="0"/>
        <v>0</v>
      </c>
      <c r="M62" s="192"/>
      <c r="N62" s="193"/>
      <c r="O62" s="192"/>
      <c r="P62" s="194"/>
      <c r="Q62" s="195"/>
      <c r="R62" s="196"/>
      <c r="S62" s="197"/>
      <c r="T62" s="62">
        <f t="shared" si="1"/>
        <v>0</v>
      </c>
      <c r="U62" s="63">
        <f t="shared" si="2"/>
        <v>0</v>
      </c>
      <c r="V62" s="145">
        <f t="shared" si="3"/>
        <v>0</v>
      </c>
      <c r="W62" s="198"/>
      <c r="X62" s="1379"/>
      <c r="Y62" s="1380"/>
      <c r="Z62" s="62">
        <f t="shared" si="4"/>
        <v>0</v>
      </c>
      <c r="AA62" s="146">
        <f t="shared" si="5"/>
        <v>0</v>
      </c>
      <c r="AB62" s="198"/>
      <c r="AC62" s="1379"/>
      <c r="AD62" s="1380"/>
      <c r="AE62" s="62">
        <f t="shared" si="6"/>
        <v>0</v>
      </c>
      <c r="AF62" s="148">
        <f t="shared" si="7"/>
        <v>0</v>
      </c>
      <c r="AG62" s="198"/>
      <c r="AH62" s="1379"/>
      <c r="AI62" s="1380"/>
      <c r="AJ62"/>
      <c r="AK62"/>
      <c r="AL62"/>
      <c r="AM62"/>
      <c r="AN62"/>
    </row>
    <row r="63" spans="1:40" s="66" customFormat="1" ht="14.5">
      <c r="A63" s="186"/>
      <c r="B63" s="187"/>
      <c r="C63" s="188"/>
      <c r="D63" s="188"/>
      <c r="E63" s="189"/>
      <c r="F63" s="190"/>
      <c r="G63" s="190"/>
      <c r="H63" s="189"/>
      <c r="I63" s="189"/>
      <c r="J63" s="191"/>
      <c r="K63" s="191"/>
      <c r="L63" s="61">
        <f t="shared" si="0"/>
        <v>0</v>
      </c>
      <c r="M63" s="192"/>
      <c r="N63" s="193"/>
      <c r="O63" s="192"/>
      <c r="P63" s="194"/>
      <c r="Q63" s="195"/>
      <c r="R63" s="196"/>
      <c r="S63" s="197"/>
      <c r="T63" s="62">
        <f t="shared" si="1"/>
        <v>0</v>
      </c>
      <c r="U63" s="63">
        <f t="shared" si="2"/>
        <v>0</v>
      </c>
      <c r="V63" s="145">
        <f t="shared" si="3"/>
        <v>0</v>
      </c>
      <c r="W63" s="198"/>
      <c r="X63" s="1379"/>
      <c r="Y63" s="1380"/>
      <c r="Z63" s="62">
        <f t="shared" si="4"/>
        <v>0</v>
      </c>
      <c r="AA63" s="146">
        <f t="shared" si="5"/>
        <v>0</v>
      </c>
      <c r="AB63" s="198"/>
      <c r="AC63" s="1379"/>
      <c r="AD63" s="1380"/>
      <c r="AE63" s="62">
        <f t="shared" si="6"/>
        <v>0</v>
      </c>
      <c r="AF63" s="148">
        <f t="shared" si="7"/>
        <v>0</v>
      </c>
      <c r="AG63" s="198"/>
      <c r="AH63" s="1379"/>
      <c r="AI63" s="1380"/>
      <c r="AJ63"/>
      <c r="AK63"/>
      <c r="AL63"/>
      <c r="AM63"/>
      <c r="AN63"/>
    </row>
    <row r="64" spans="1:40" s="66" customFormat="1" ht="14.5">
      <c r="A64" s="186"/>
      <c r="B64" s="187"/>
      <c r="C64" s="188"/>
      <c r="D64" s="188"/>
      <c r="E64" s="189"/>
      <c r="F64" s="190"/>
      <c r="G64" s="190"/>
      <c r="H64" s="189"/>
      <c r="I64" s="189"/>
      <c r="J64" s="191"/>
      <c r="K64" s="191"/>
      <c r="L64" s="61">
        <f t="shared" si="0"/>
        <v>0</v>
      </c>
      <c r="M64" s="192"/>
      <c r="N64" s="193"/>
      <c r="O64" s="192"/>
      <c r="P64" s="194"/>
      <c r="Q64" s="195"/>
      <c r="R64" s="196"/>
      <c r="S64" s="197"/>
      <c r="T64" s="62">
        <f t="shared" si="1"/>
        <v>0</v>
      </c>
      <c r="U64" s="63">
        <f t="shared" si="2"/>
        <v>0</v>
      </c>
      <c r="V64" s="145">
        <f t="shared" si="3"/>
        <v>0</v>
      </c>
      <c r="W64" s="198"/>
      <c r="X64" s="1379"/>
      <c r="Y64" s="1380"/>
      <c r="Z64" s="62">
        <f t="shared" si="4"/>
        <v>0</v>
      </c>
      <c r="AA64" s="146">
        <f t="shared" si="5"/>
        <v>0</v>
      </c>
      <c r="AB64" s="198"/>
      <c r="AC64" s="1379"/>
      <c r="AD64" s="1380"/>
      <c r="AE64" s="62">
        <f t="shared" si="6"/>
        <v>0</v>
      </c>
      <c r="AF64" s="148">
        <f t="shared" si="7"/>
        <v>0</v>
      </c>
      <c r="AG64" s="198"/>
      <c r="AH64" s="1379"/>
      <c r="AI64" s="1380"/>
      <c r="AJ64"/>
      <c r="AK64"/>
      <c r="AL64"/>
      <c r="AM64"/>
      <c r="AN64"/>
    </row>
    <row r="65" spans="1:40" s="66" customFormat="1" ht="14.5">
      <c r="A65" s="186"/>
      <c r="B65" s="187"/>
      <c r="C65" s="188"/>
      <c r="D65" s="188"/>
      <c r="E65" s="189"/>
      <c r="F65" s="190"/>
      <c r="G65" s="190"/>
      <c r="H65" s="189"/>
      <c r="I65" s="189"/>
      <c r="J65" s="191"/>
      <c r="K65" s="191"/>
      <c r="L65" s="61">
        <f t="shared" si="0"/>
        <v>0</v>
      </c>
      <c r="M65" s="192"/>
      <c r="N65" s="193"/>
      <c r="O65" s="192"/>
      <c r="P65" s="194"/>
      <c r="Q65" s="195"/>
      <c r="R65" s="196"/>
      <c r="S65" s="197"/>
      <c r="T65" s="62">
        <f t="shared" si="1"/>
        <v>0</v>
      </c>
      <c r="U65" s="63">
        <f t="shared" si="2"/>
        <v>0</v>
      </c>
      <c r="V65" s="145">
        <f t="shared" si="3"/>
        <v>0</v>
      </c>
      <c r="W65" s="198"/>
      <c r="X65" s="1379"/>
      <c r="Y65" s="1380"/>
      <c r="Z65" s="62">
        <f t="shared" si="4"/>
        <v>0</v>
      </c>
      <c r="AA65" s="146">
        <f t="shared" si="5"/>
        <v>0</v>
      </c>
      <c r="AB65" s="198"/>
      <c r="AC65" s="1379"/>
      <c r="AD65" s="1380"/>
      <c r="AE65" s="62">
        <f t="shared" si="6"/>
        <v>0</v>
      </c>
      <c r="AF65" s="148">
        <f t="shared" si="7"/>
        <v>0</v>
      </c>
      <c r="AG65" s="198"/>
      <c r="AH65" s="1379"/>
      <c r="AI65" s="1380"/>
      <c r="AJ65"/>
      <c r="AK65"/>
      <c r="AL65"/>
      <c r="AM65"/>
      <c r="AN65"/>
    </row>
    <row r="66" spans="1:40" s="66" customFormat="1" ht="14.5">
      <c r="A66" s="186"/>
      <c r="B66" s="187"/>
      <c r="C66" s="188"/>
      <c r="D66" s="188"/>
      <c r="E66" s="189"/>
      <c r="F66" s="190"/>
      <c r="G66" s="190"/>
      <c r="H66" s="189"/>
      <c r="I66" s="189"/>
      <c r="J66" s="191"/>
      <c r="K66" s="191"/>
      <c r="L66" s="61">
        <f t="shared" si="0"/>
        <v>0</v>
      </c>
      <c r="M66" s="192"/>
      <c r="N66" s="193"/>
      <c r="O66" s="192"/>
      <c r="P66" s="194"/>
      <c r="Q66" s="195"/>
      <c r="R66" s="196"/>
      <c r="S66" s="197"/>
      <c r="T66" s="62">
        <f t="shared" si="1"/>
        <v>0</v>
      </c>
      <c r="U66" s="63">
        <f t="shared" si="2"/>
        <v>0</v>
      </c>
      <c r="V66" s="145">
        <f t="shared" si="3"/>
        <v>0</v>
      </c>
      <c r="W66" s="198"/>
      <c r="X66" s="1379"/>
      <c r="Y66" s="1380"/>
      <c r="Z66" s="62">
        <f t="shared" si="4"/>
        <v>0</v>
      </c>
      <c r="AA66" s="146">
        <f t="shared" si="5"/>
        <v>0</v>
      </c>
      <c r="AB66" s="198"/>
      <c r="AC66" s="1379"/>
      <c r="AD66" s="1380"/>
      <c r="AE66" s="62">
        <f t="shared" si="6"/>
        <v>0</v>
      </c>
      <c r="AF66" s="148">
        <f t="shared" si="7"/>
        <v>0</v>
      </c>
      <c r="AG66" s="198"/>
      <c r="AH66" s="1379"/>
      <c r="AI66" s="1380"/>
      <c r="AJ66"/>
      <c r="AK66"/>
      <c r="AL66"/>
      <c r="AM66"/>
      <c r="AN66"/>
    </row>
    <row r="67" spans="1:40" s="66" customFormat="1" ht="14.5">
      <c r="A67" s="186"/>
      <c r="B67" s="187"/>
      <c r="C67" s="188"/>
      <c r="D67" s="188"/>
      <c r="E67" s="189"/>
      <c r="F67" s="190"/>
      <c r="G67" s="190"/>
      <c r="H67" s="189"/>
      <c r="I67" s="189"/>
      <c r="J67" s="191"/>
      <c r="K67" s="191"/>
      <c r="L67" s="61">
        <f t="shared" si="0"/>
        <v>0</v>
      </c>
      <c r="M67" s="192"/>
      <c r="N67" s="193"/>
      <c r="O67" s="192"/>
      <c r="P67" s="194"/>
      <c r="Q67" s="195"/>
      <c r="R67" s="196"/>
      <c r="S67" s="197"/>
      <c r="T67" s="62">
        <f t="shared" si="1"/>
        <v>0</v>
      </c>
      <c r="U67" s="63">
        <f t="shared" si="2"/>
        <v>0</v>
      </c>
      <c r="V67" s="145">
        <f t="shared" si="3"/>
        <v>0</v>
      </c>
      <c r="W67" s="198"/>
      <c r="X67" s="1379"/>
      <c r="Y67" s="1380"/>
      <c r="Z67" s="62">
        <f t="shared" si="4"/>
        <v>0</v>
      </c>
      <c r="AA67" s="146">
        <f t="shared" si="5"/>
        <v>0</v>
      </c>
      <c r="AB67" s="198"/>
      <c r="AC67" s="1379"/>
      <c r="AD67" s="1380"/>
      <c r="AE67" s="62">
        <f t="shared" si="6"/>
        <v>0</v>
      </c>
      <c r="AF67" s="148">
        <f t="shared" si="7"/>
        <v>0</v>
      </c>
      <c r="AG67" s="198"/>
      <c r="AH67" s="1379"/>
      <c r="AI67" s="1380"/>
      <c r="AJ67"/>
      <c r="AK67"/>
      <c r="AL67"/>
      <c r="AM67"/>
      <c r="AN67"/>
    </row>
    <row r="68" spans="1:40" s="66" customFormat="1" ht="14.5">
      <c r="A68" s="186"/>
      <c r="B68" s="187"/>
      <c r="C68" s="188"/>
      <c r="D68" s="188"/>
      <c r="E68" s="189"/>
      <c r="F68" s="190"/>
      <c r="G68" s="190"/>
      <c r="H68" s="189"/>
      <c r="I68" s="189"/>
      <c r="J68" s="191"/>
      <c r="K68" s="191"/>
      <c r="L68" s="61">
        <f t="shared" si="0"/>
        <v>0</v>
      </c>
      <c r="M68" s="192"/>
      <c r="N68" s="193"/>
      <c r="O68" s="192"/>
      <c r="P68" s="194"/>
      <c r="Q68" s="195"/>
      <c r="R68" s="196"/>
      <c r="S68" s="197"/>
      <c r="T68" s="62">
        <f t="shared" si="1"/>
        <v>0</v>
      </c>
      <c r="U68" s="63">
        <f t="shared" si="2"/>
        <v>0</v>
      </c>
      <c r="V68" s="145">
        <f t="shared" si="3"/>
        <v>0</v>
      </c>
      <c r="W68" s="198"/>
      <c r="X68" s="1379"/>
      <c r="Y68" s="1380"/>
      <c r="Z68" s="62">
        <f t="shared" si="4"/>
        <v>0</v>
      </c>
      <c r="AA68" s="146">
        <f t="shared" si="5"/>
        <v>0</v>
      </c>
      <c r="AB68" s="198"/>
      <c r="AC68" s="1379"/>
      <c r="AD68" s="1380"/>
      <c r="AE68" s="62">
        <f t="shared" si="6"/>
        <v>0</v>
      </c>
      <c r="AF68" s="148">
        <f t="shared" si="7"/>
        <v>0</v>
      </c>
      <c r="AG68" s="198"/>
      <c r="AH68" s="1379"/>
      <c r="AI68" s="1380"/>
      <c r="AJ68"/>
      <c r="AK68"/>
      <c r="AL68"/>
      <c r="AM68"/>
      <c r="AN68"/>
    </row>
    <row r="69" spans="1:40" s="66" customFormat="1" ht="14.5">
      <c r="A69" s="186"/>
      <c r="B69" s="187"/>
      <c r="C69" s="188"/>
      <c r="D69" s="188"/>
      <c r="E69" s="189"/>
      <c r="F69" s="190"/>
      <c r="G69" s="190"/>
      <c r="H69" s="189"/>
      <c r="I69" s="189"/>
      <c r="J69" s="191"/>
      <c r="K69" s="191"/>
      <c r="L69" s="61">
        <f t="shared" si="0"/>
        <v>0</v>
      </c>
      <c r="M69" s="192"/>
      <c r="N69" s="193"/>
      <c r="O69" s="192"/>
      <c r="P69" s="194"/>
      <c r="Q69" s="195"/>
      <c r="R69" s="196"/>
      <c r="S69" s="197"/>
      <c r="T69" s="62">
        <f t="shared" si="1"/>
        <v>0</v>
      </c>
      <c r="U69" s="63">
        <f t="shared" si="2"/>
        <v>0</v>
      </c>
      <c r="V69" s="145">
        <f t="shared" si="3"/>
        <v>0</v>
      </c>
      <c r="W69" s="198"/>
      <c r="X69" s="1379"/>
      <c r="Y69" s="1380"/>
      <c r="Z69" s="62">
        <f t="shared" si="4"/>
        <v>0</v>
      </c>
      <c r="AA69" s="146">
        <f t="shared" si="5"/>
        <v>0</v>
      </c>
      <c r="AB69" s="198"/>
      <c r="AC69" s="1379"/>
      <c r="AD69" s="1380"/>
      <c r="AE69" s="62">
        <f t="shared" si="6"/>
        <v>0</v>
      </c>
      <c r="AF69" s="148">
        <f t="shared" si="7"/>
        <v>0</v>
      </c>
      <c r="AG69" s="198"/>
      <c r="AH69" s="1379"/>
      <c r="AI69" s="1380"/>
      <c r="AJ69"/>
      <c r="AK69"/>
      <c r="AL69"/>
      <c r="AM69"/>
      <c r="AN69"/>
    </row>
    <row r="70" spans="1:40" s="66" customFormat="1" ht="14.5">
      <c r="A70" s="186"/>
      <c r="B70" s="187"/>
      <c r="C70" s="188"/>
      <c r="D70" s="188"/>
      <c r="E70" s="189"/>
      <c r="F70" s="190"/>
      <c r="G70" s="190"/>
      <c r="H70" s="189"/>
      <c r="I70" s="189"/>
      <c r="J70" s="191"/>
      <c r="K70" s="191"/>
      <c r="L70" s="61">
        <f t="shared" si="0"/>
        <v>0</v>
      </c>
      <c r="M70" s="192"/>
      <c r="N70" s="193"/>
      <c r="O70" s="192"/>
      <c r="P70" s="194"/>
      <c r="Q70" s="195"/>
      <c r="R70" s="196"/>
      <c r="S70" s="197"/>
      <c r="T70" s="62">
        <f t="shared" si="1"/>
        <v>0</v>
      </c>
      <c r="U70" s="63">
        <f t="shared" si="2"/>
        <v>0</v>
      </c>
      <c r="V70" s="145">
        <f t="shared" si="3"/>
        <v>0</v>
      </c>
      <c r="W70" s="198"/>
      <c r="X70" s="1379"/>
      <c r="Y70" s="1380"/>
      <c r="Z70" s="62">
        <f t="shared" si="4"/>
        <v>0</v>
      </c>
      <c r="AA70" s="146">
        <f t="shared" si="5"/>
        <v>0</v>
      </c>
      <c r="AB70" s="198"/>
      <c r="AC70" s="1379"/>
      <c r="AD70" s="1380"/>
      <c r="AE70" s="62">
        <f t="shared" si="6"/>
        <v>0</v>
      </c>
      <c r="AF70" s="148">
        <f t="shared" si="7"/>
        <v>0</v>
      </c>
      <c r="AG70" s="198"/>
      <c r="AH70" s="1379"/>
      <c r="AI70" s="1380"/>
      <c r="AJ70"/>
      <c r="AK70"/>
      <c r="AL70"/>
      <c r="AM70"/>
      <c r="AN70"/>
    </row>
    <row r="71" spans="1:40" s="66" customFormat="1" ht="14.5">
      <c r="A71" s="186"/>
      <c r="B71" s="187"/>
      <c r="C71" s="188"/>
      <c r="D71" s="188"/>
      <c r="E71" s="189"/>
      <c r="F71" s="190"/>
      <c r="G71" s="190"/>
      <c r="H71" s="189"/>
      <c r="I71" s="189"/>
      <c r="J71" s="191"/>
      <c r="K71" s="191"/>
      <c r="L71" s="61">
        <f t="shared" si="0"/>
        <v>0</v>
      </c>
      <c r="M71" s="192"/>
      <c r="N71" s="193"/>
      <c r="O71" s="192"/>
      <c r="P71" s="194"/>
      <c r="Q71" s="195"/>
      <c r="R71" s="196"/>
      <c r="S71" s="197"/>
      <c r="T71" s="62">
        <f t="shared" si="1"/>
        <v>0</v>
      </c>
      <c r="U71" s="63">
        <f t="shared" si="2"/>
        <v>0</v>
      </c>
      <c r="V71" s="145">
        <f t="shared" si="3"/>
        <v>0</v>
      </c>
      <c r="W71" s="198"/>
      <c r="X71" s="1379"/>
      <c r="Y71" s="1380"/>
      <c r="Z71" s="62">
        <f t="shared" si="4"/>
        <v>0</v>
      </c>
      <c r="AA71" s="146">
        <f t="shared" si="5"/>
        <v>0</v>
      </c>
      <c r="AB71" s="198"/>
      <c r="AC71" s="1379"/>
      <c r="AD71" s="1380"/>
      <c r="AE71" s="62">
        <f t="shared" si="6"/>
        <v>0</v>
      </c>
      <c r="AF71" s="148">
        <f t="shared" si="7"/>
        <v>0</v>
      </c>
      <c r="AG71" s="198"/>
      <c r="AH71" s="1379"/>
      <c r="AI71" s="1380"/>
      <c r="AJ71"/>
      <c r="AK71"/>
      <c r="AL71"/>
      <c r="AM71"/>
      <c r="AN71"/>
    </row>
    <row r="72" spans="1:40" s="66" customFormat="1" ht="14.5">
      <c r="A72" s="186"/>
      <c r="B72" s="187"/>
      <c r="C72" s="188"/>
      <c r="D72" s="188"/>
      <c r="E72" s="189"/>
      <c r="F72" s="190"/>
      <c r="G72" s="190"/>
      <c r="H72" s="189"/>
      <c r="I72" s="189"/>
      <c r="J72" s="191"/>
      <c r="K72" s="191"/>
      <c r="L72" s="61">
        <f t="shared" si="0"/>
        <v>0</v>
      </c>
      <c r="M72" s="192"/>
      <c r="N72" s="193"/>
      <c r="O72" s="192"/>
      <c r="P72" s="194"/>
      <c r="Q72" s="195"/>
      <c r="R72" s="196"/>
      <c r="S72" s="197"/>
      <c r="T72" s="62">
        <f t="shared" si="1"/>
        <v>0</v>
      </c>
      <c r="U72" s="63">
        <f t="shared" si="2"/>
        <v>0</v>
      </c>
      <c r="V72" s="145">
        <f t="shared" si="3"/>
        <v>0</v>
      </c>
      <c r="W72" s="198"/>
      <c r="X72" s="1379"/>
      <c r="Y72" s="1380"/>
      <c r="Z72" s="62">
        <f t="shared" si="4"/>
        <v>0</v>
      </c>
      <c r="AA72" s="146">
        <f t="shared" si="5"/>
        <v>0</v>
      </c>
      <c r="AB72" s="198"/>
      <c r="AC72" s="1379"/>
      <c r="AD72" s="1380"/>
      <c r="AE72" s="62">
        <f t="shared" si="6"/>
        <v>0</v>
      </c>
      <c r="AF72" s="148">
        <f t="shared" si="7"/>
        <v>0</v>
      </c>
      <c r="AG72" s="198"/>
      <c r="AH72" s="1379"/>
      <c r="AI72" s="1380"/>
      <c r="AJ72"/>
      <c r="AK72"/>
      <c r="AL72"/>
      <c r="AM72"/>
      <c r="AN72"/>
    </row>
    <row r="73" spans="1:40" s="66" customFormat="1" ht="14.5">
      <c r="A73" s="186"/>
      <c r="B73" s="187"/>
      <c r="C73" s="188"/>
      <c r="D73" s="188"/>
      <c r="E73" s="189"/>
      <c r="F73" s="190"/>
      <c r="G73" s="190"/>
      <c r="H73" s="189"/>
      <c r="I73" s="189"/>
      <c r="J73" s="191"/>
      <c r="K73" s="191"/>
      <c r="L73" s="61">
        <f t="shared" si="0"/>
        <v>0</v>
      </c>
      <c r="M73" s="192"/>
      <c r="N73" s="193"/>
      <c r="O73" s="192"/>
      <c r="P73" s="194"/>
      <c r="Q73" s="195"/>
      <c r="R73" s="196"/>
      <c r="S73" s="197"/>
      <c r="T73" s="62">
        <f t="shared" si="1"/>
        <v>0</v>
      </c>
      <c r="U73" s="63">
        <f t="shared" si="2"/>
        <v>0</v>
      </c>
      <c r="V73" s="145">
        <f t="shared" si="3"/>
        <v>0</v>
      </c>
      <c r="W73" s="198"/>
      <c r="X73" s="1379"/>
      <c r="Y73" s="1380"/>
      <c r="Z73" s="62">
        <f t="shared" si="4"/>
        <v>0</v>
      </c>
      <c r="AA73" s="146">
        <f t="shared" si="5"/>
        <v>0</v>
      </c>
      <c r="AB73" s="198"/>
      <c r="AC73" s="1379"/>
      <c r="AD73" s="1380"/>
      <c r="AE73" s="62">
        <f t="shared" si="6"/>
        <v>0</v>
      </c>
      <c r="AF73" s="148">
        <f t="shared" si="7"/>
        <v>0</v>
      </c>
      <c r="AG73" s="198"/>
      <c r="AH73" s="1379"/>
      <c r="AI73" s="1380"/>
      <c r="AJ73"/>
      <c r="AK73"/>
      <c r="AL73"/>
      <c r="AM73"/>
      <c r="AN73"/>
    </row>
    <row r="74" spans="1:40" s="66" customFormat="1" ht="14.5">
      <c r="A74" s="186"/>
      <c r="B74" s="187"/>
      <c r="C74" s="188"/>
      <c r="D74" s="188"/>
      <c r="E74" s="189"/>
      <c r="F74" s="190"/>
      <c r="G74" s="190"/>
      <c r="H74" s="189"/>
      <c r="I74" s="189"/>
      <c r="J74" s="191"/>
      <c r="K74" s="191"/>
      <c r="L74" s="61">
        <f t="shared" si="0"/>
        <v>0</v>
      </c>
      <c r="M74" s="192"/>
      <c r="N74" s="193"/>
      <c r="O74" s="192"/>
      <c r="P74" s="194"/>
      <c r="Q74" s="195"/>
      <c r="R74" s="196"/>
      <c r="S74" s="197"/>
      <c r="T74" s="62">
        <f t="shared" si="1"/>
        <v>0</v>
      </c>
      <c r="U74" s="63">
        <f t="shared" si="2"/>
        <v>0</v>
      </c>
      <c r="V74" s="145">
        <f t="shared" si="3"/>
        <v>0</v>
      </c>
      <c r="W74" s="198"/>
      <c r="X74" s="1379"/>
      <c r="Y74" s="1380"/>
      <c r="Z74" s="62">
        <f t="shared" si="4"/>
        <v>0</v>
      </c>
      <c r="AA74" s="146">
        <f t="shared" si="5"/>
        <v>0</v>
      </c>
      <c r="AB74" s="198"/>
      <c r="AC74" s="1379"/>
      <c r="AD74" s="1380"/>
      <c r="AE74" s="62">
        <f t="shared" si="6"/>
        <v>0</v>
      </c>
      <c r="AF74" s="148">
        <f t="shared" si="7"/>
        <v>0</v>
      </c>
      <c r="AG74" s="198"/>
      <c r="AH74" s="1379"/>
      <c r="AI74" s="1380"/>
      <c r="AJ74"/>
      <c r="AK74"/>
      <c r="AL74"/>
      <c r="AM74"/>
      <c r="AN74"/>
    </row>
    <row r="75" spans="1:40" s="66" customFormat="1" ht="14.5">
      <c r="A75" s="186"/>
      <c r="B75" s="187"/>
      <c r="C75" s="188"/>
      <c r="D75" s="188"/>
      <c r="E75" s="189"/>
      <c r="F75" s="190"/>
      <c r="G75" s="190"/>
      <c r="H75" s="189"/>
      <c r="I75" s="189"/>
      <c r="J75" s="191"/>
      <c r="K75" s="191"/>
      <c r="L75" s="61">
        <f t="shared" si="0"/>
        <v>0</v>
      </c>
      <c r="M75" s="192"/>
      <c r="N75" s="193"/>
      <c r="O75" s="192"/>
      <c r="P75" s="194"/>
      <c r="Q75" s="195"/>
      <c r="R75" s="196"/>
      <c r="S75" s="197"/>
      <c r="T75" s="62">
        <f t="shared" si="1"/>
        <v>0</v>
      </c>
      <c r="U75" s="63">
        <f t="shared" si="2"/>
        <v>0</v>
      </c>
      <c r="V75" s="145">
        <f t="shared" si="3"/>
        <v>0</v>
      </c>
      <c r="W75" s="198"/>
      <c r="X75" s="1379"/>
      <c r="Y75" s="1380"/>
      <c r="Z75" s="62">
        <f t="shared" si="4"/>
        <v>0</v>
      </c>
      <c r="AA75" s="146">
        <f t="shared" si="5"/>
        <v>0</v>
      </c>
      <c r="AB75" s="198"/>
      <c r="AC75" s="1379"/>
      <c r="AD75" s="1380"/>
      <c r="AE75" s="62">
        <f t="shared" si="6"/>
        <v>0</v>
      </c>
      <c r="AF75" s="148">
        <f t="shared" si="7"/>
        <v>0</v>
      </c>
      <c r="AG75" s="198"/>
      <c r="AH75" s="1379"/>
      <c r="AI75" s="1380"/>
      <c r="AJ75"/>
      <c r="AK75"/>
      <c r="AL75"/>
      <c r="AM75"/>
      <c r="AN75"/>
    </row>
    <row r="76" spans="1:40" s="66" customFormat="1" ht="14.5">
      <c r="A76" s="186"/>
      <c r="B76" s="187"/>
      <c r="C76" s="188"/>
      <c r="D76" s="188"/>
      <c r="E76" s="189"/>
      <c r="F76" s="190"/>
      <c r="G76" s="190"/>
      <c r="H76" s="189"/>
      <c r="I76" s="189"/>
      <c r="J76" s="191"/>
      <c r="K76" s="191"/>
      <c r="L76" s="61">
        <f t="shared" si="0"/>
        <v>0</v>
      </c>
      <c r="M76" s="192"/>
      <c r="N76" s="193"/>
      <c r="O76" s="192"/>
      <c r="P76" s="194"/>
      <c r="Q76" s="195"/>
      <c r="R76" s="196"/>
      <c r="S76" s="197"/>
      <c r="T76" s="62">
        <f t="shared" si="1"/>
        <v>0</v>
      </c>
      <c r="U76" s="63">
        <f t="shared" si="2"/>
        <v>0</v>
      </c>
      <c r="V76" s="145">
        <f t="shared" si="3"/>
        <v>0</v>
      </c>
      <c r="W76" s="198"/>
      <c r="X76" s="1379"/>
      <c r="Y76" s="1380"/>
      <c r="Z76" s="62">
        <f t="shared" si="4"/>
        <v>0</v>
      </c>
      <c r="AA76" s="146">
        <f t="shared" si="5"/>
        <v>0</v>
      </c>
      <c r="AB76" s="198"/>
      <c r="AC76" s="1379"/>
      <c r="AD76" s="1380"/>
      <c r="AE76" s="62">
        <f t="shared" si="6"/>
        <v>0</v>
      </c>
      <c r="AF76" s="148">
        <f t="shared" si="7"/>
        <v>0</v>
      </c>
      <c r="AG76" s="198"/>
      <c r="AH76" s="1379"/>
      <c r="AI76" s="1380"/>
      <c r="AJ76"/>
      <c r="AK76"/>
      <c r="AL76"/>
      <c r="AM76"/>
      <c r="AN76"/>
    </row>
    <row r="77" spans="1:40" s="66" customFormat="1" ht="14.5">
      <c r="A77" s="186"/>
      <c r="B77" s="187"/>
      <c r="C77" s="188"/>
      <c r="D77" s="188"/>
      <c r="E77" s="189"/>
      <c r="F77" s="190"/>
      <c r="G77" s="190"/>
      <c r="H77" s="189"/>
      <c r="I77" s="189"/>
      <c r="J77" s="191"/>
      <c r="K77" s="191"/>
      <c r="L77" s="61">
        <f t="shared" si="0"/>
        <v>0</v>
      </c>
      <c r="M77" s="192"/>
      <c r="N77" s="193"/>
      <c r="O77" s="192"/>
      <c r="P77" s="194"/>
      <c r="Q77" s="195"/>
      <c r="R77" s="196"/>
      <c r="S77" s="197"/>
      <c r="T77" s="62">
        <f t="shared" si="1"/>
        <v>0</v>
      </c>
      <c r="U77" s="63">
        <f t="shared" si="2"/>
        <v>0</v>
      </c>
      <c r="V77" s="145">
        <f t="shared" si="3"/>
        <v>0</v>
      </c>
      <c r="W77" s="198"/>
      <c r="X77" s="1379"/>
      <c r="Y77" s="1380"/>
      <c r="Z77" s="62">
        <f t="shared" si="4"/>
        <v>0</v>
      </c>
      <c r="AA77" s="146">
        <f t="shared" si="5"/>
        <v>0</v>
      </c>
      <c r="AB77" s="198"/>
      <c r="AC77" s="1379"/>
      <c r="AD77" s="1380"/>
      <c r="AE77" s="62">
        <f t="shared" si="6"/>
        <v>0</v>
      </c>
      <c r="AF77" s="148">
        <f t="shared" si="7"/>
        <v>0</v>
      </c>
      <c r="AG77" s="198"/>
      <c r="AH77" s="1379"/>
      <c r="AI77" s="1380"/>
      <c r="AJ77"/>
      <c r="AK77"/>
      <c r="AL77"/>
      <c r="AM77"/>
      <c r="AN77"/>
    </row>
    <row r="78" spans="1:40" s="66" customFormat="1" ht="14.5">
      <c r="A78" s="186"/>
      <c r="B78" s="187"/>
      <c r="C78" s="188"/>
      <c r="D78" s="188"/>
      <c r="E78" s="189"/>
      <c r="F78" s="190"/>
      <c r="G78" s="190"/>
      <c r="H78" s="189"/>
      <c r="I78" s="189"/>
      <c r="J78" s="191"/>
      <c r="K78" s="191"/>
      <c r="L78" s="61">
        <f t="shared" ref="L78:L141" si="8">IF(I78=0,0,(K78+J78)/I78)</f>
        <v>0</v>
      </c>
      <c r="M78" s="192"/>
      <c r="N78" s="193"/>
      <c r="O78" s="192"/>
      <c r="P78" s="194"/>
      <c r="Q78" s="195"/>
      <c r="R78" s="196"/>
      <c r="S78" s="197"/>
      <c r="T78" s="62">
        <f t="shared" ref="T78:T141" si="9">IF(S78=0,0,((S78*Q78)-Z78))</f>
        <v>0</v>
      </c>
      <c r="U78" s="63">
        <f t="shared" ref="U78:U141" si="10">+Q78-I78</f>
        <v>0</v>
      </c>
      <c r="V78" s="145">
        <f t="shared" ref="V78:V141" si="11">(T78-J78)</f>
        <v>0</v>
      </c>
      <c r="W78" s="198"/>
      <c r="X78" s="1379"/>
      <c r="Y78" s="1380"/>
      <c r="Z78" s="62">
        <f t="shared" ref="Z78:Z141" si="12">IF(I78=0,0,M78/H78*Q78)</f>
        <v>0</v>
      </c>
      <c r="AA78" s="146">
        <f t="shared" ref="AA78:AA141" si="13">+Z78-O78</f>
        <v>0</v>
      </c>
      <c r="AB78" s="198"/>
      <c r="AC78" s="1379"/>
      <c r="AD78" s="1380"/>
      <c r="AE78" s="62">
        <f t="shared" ref="AE78:AE141" si="14">IF(H78=0, 0, N78 / H78 * R78)</f>
        <v>0</v>
      </c>
      <c r="AF78" s="148">
        <f t="shared" ref="AF78:AF141" si="15">+AE78-P78</f>
        <v>0</v>
      </c>
      <c r="AG78" s="198"/>
      <c r="AH78" s="1379"/>
      <c r="AI78" s="1380"/>
      <c r="AJ78"/>
      <c r="AK78"/>
      <c r="AL78"/>
      <c r="AM78"/>
      <c r="AN78"/>
    </row>
    <row r="79" spans="1:40" s="66" customFormat="1" ht="14.5">
      <c r="A79" s="186"/>
      <c r="B79" s="187"/>
      <c r="C79" s="188"/>
      <c r="D79" s="188"/>
      <c r="E79" s="189"/>
      <c r="F79" s="190"/>
      <c r="G79" s="190"/>
      <c r="H79" s="189"/>
      <c r="I79" s="189"/>
      <c r="J79" s="191"/>
      <c r="K79" s="191"/>
      <c r="L79" s="61">
        <f t="shared" si="8"/>
        <v>0</v>
      </c>
      <c r="M79" s="192"/>
      <c r="N79" s="193"/>
      <c r="O79" s="192"/>
      <c r="P79" s="194"/>
      <c r="Q79" s="195"/>
      <c r="R79" s="196"/>
      <c r="S79" s="197"/>
      <c r="T79" s="62">
        <f t="shared" si="9"/>
        <v>0</v>
      </c>
      <c r="U79" s="63">
        <f t="shared" si="10"/>
        <v>0</v>
      </c>
      <c r="V79" s="145">
        <f t="shared" si="11"/>
        <v>0</v>
      </c>
      <c r="W79" s="198"/>
      <c r="X79" s="1379"/>
      <c r="Y79" s="1380"/>
      <c r="Z79" s="62">
        <f t="shared" si="12"/>
        <v>0</v>
      </c>
      <c r="AA79" s="146">
        <f t="shared" si="13"/>
        <v>0</v>
      </c>
      <c r="AB79" s="198"/>
      <c r="AC79" s="1379"/>
      <c r="AD79" s="1380"/>
      <c r="AE79" s="62">
        <f t="shared" si="14"/>
        <v>0</v>
      </c>
      <c r="AF79" s="148">
        <f t="shared" si="15"/>
        <v>0</v>
      </c>
      <c r="AG79" s="198"/>
      <c r="AH79" s="1379"/>
      <c r="AI79" s="1380"/>
      <c r="AJ79"/>
      <c r="AK79"/>
      <c r="AL79"/>
      <c r="AM79"/>
      <c r="AN79"/>
    </row>
    <row r="80" spans="1:40" s="66" customFormat="1" ht="14.5">
      <c r="A80" s="186"/>
      <c r="B80" s="187"/>
      <c r="C80" s="188"/>
      <c r="D80" s="188"/>
      <c r="E80" s="189"/>
      <c r="F80" s="190"/>
      <c r="G80" s="190"/>
      <c r="H80" s="189"/>
      <c r="I80" s="189"/>
      <c r="J80" s="191"/>
      <c r="K80" s="191"/>
      <c r="L80" s="61">
        <f t="shared" si="8"/>
        <v>0</v>
      </c>
      <c r="M80" s="192"/>
      <c r="N80" s="193"/>
      <c r="O80" s="192"/>
      <c r="P80" s="194"/>
      <c r="Q80" s="195"/>
      <c r="R80" s="196"/>
      <c r="S80" s="197"/>
      <c r="T80" s="62">
        <f t="shared" si="9"/>
        <v>0</v>
      </c>
      <c r="U80" s="63">
        <f t="shared" si="10"/>
        <v>0</v>
      </c>
      <c r="V80" s="145">
        <f t="shared" si="11"/>
        <v>0</v>
      </c>
      <c r="W80" s="198"/>
      <c r="X80" s="1379"/>
      <c r="Y80" s="1380"/>
      <c r="Z80" s="62">
        <f t="shared" si="12"/>
        <v>0</v>
      </c>
      <c r="AA80" s="146">
        <f t="shared" si="13"/>
        <v>0</v>
      </c>
      <c r="AB80" s="198"/>
      <c r="AC80" s="1379"/>
      <c r="AD80" s="1380"/>
      <c r="AE80" s="62">
        <f t="shared" si="14"/>
        <v>0</v>
      </c>
      <c r="AF80" s="148">
        <f t="shared" si="15"/>
        <v>0</v>
      </c>
      <c r="AG80" s="198"/>
      <c r="AH80" s="1379"/>
      <c r="AI80" s="1380"/>
      <c r="AJ80"/>
      <c r="AK80"/>
      <c r="AL80"/>
      <c r="AM80"/>
      <c r="AN80"/>
    </row>
    <row r="81" spans="1:40" s="66" customFormat="1" ht="14.5">
      <c r="A81" s="186"/>
      <c r="B81" s="187"/>
      <c r="C81" s="188"/>
      <c r="D81" s="188"/>
      <c r="E81" s="189"/>
      <c r="F81" s="190"/>
      <c r="G81" s="190"/>
      <c r="H81" s="189"/>
      <c r="I81" s="189"/>
      <c r="J81" s="191"/>
      <c r="K81" s="191"/>
      <c r="L81" s="61">
        <f t="shared" si="8"/>
        <v>0</v>
      </c>
      <c r="M81" s="192"/>
      <c r="N81" s="193"/>
      <c r="O81" s="192"/>
      <c r="P81" s="194"/>
      <c r="Q81" s="195"/>
      <c r="R81" s="196"/>
      <c r="S81" s="197"/>
      <c r="T81" s="62">
        <f t="shared" si="9"/>
        <v>0</v>
      </c>
      <c r="U81" s="63">
        <f t="shared" si="10"/>
        <v>0</v>
      </c>
      <c r="V81" s="145">
        <f t="shared" si="11"/>
        <v>0</v>
      </c>
      <c r="W81" s="198"/>
      <c r="X81" s="1379"/>
      <c r="Y81" s="1380"/>
      <c r="Z81" s="62">
        <f t="shared" si="12"/>
        <v>0</v>
      </c>
      <c r="AA81" s="146">
        <f t="shared" si="13"/>
        <v>0</v>
      </c>
      <c r="AB81" s="198"/>
      <c r="AC81" s="1379"/>
      <c r="AD81" s="1380"/>
      <c r="AE81" s="62">
        <f t="shared" si="14"/>
        <v>0</v>
      </c>
      <c r="AF81" s="148">
        <f t="shared" si="15"/>
        <v>0</v>
      </c>
      <c r="AG81" s="198"/>
      <c r="AH81" s="1379"/>
      <c r="AI81" s="1380"/>
      <c r="AJ81"/>
      <c r="AK81"/>
      <c r="AL81"/>
      <c r="AM81"/>
      <c r="AN81"/>
    </row>
    <row r="82" spans="1:40" s="66" customFormat="1" ht="14.5">
      <c r="A82" s="186"/>
      <c r="B82" s="187"/>
      <c r="C82" s="188"/>
      <c r="D82" s="188"/>
      <c r="E82" s="189"/>
      <c r="F82" s="190"/>
      <c r="G82" s="190"/>
      <c r="H82" s="189"/>
      <c r="I82" s="189"/>
      <c r="J82" s="191"/>
      <c r="K82" s="191"/>
      <c r="L82" s="61">
        <f t="shared" si="8"/>
        <v>0</v>
      </c>
      <c r="M82" s="192"/>
      <c r="N82" s="193"/>
      <c r="O82" s="192"/>
      <c r="P82" s="194"/>
      <c r="Q82" s="195"/>
      <c r="R82" s="196"/>
      <c r="S82" s="197"/>
      <c r="T82" s="62">
        <f t="shared" si="9"/>
        <v>0</v>
      </c>
      <c r="U82" s="63">
        <f t="shared" si="10"/>
        <v>0</v>
      </c>
      <c r="V82" s="145">
        <f t="shared" si="11"/>
        <v>0</v>
      </c>
      <c r="W82" s="198"/>
      <c r="X82" s="1379"/>
      <c r="Y82" s="1380"/>
      <c r="Z82" s="62">
        <f t="shared" si="12"/>
        <v>0</v>
      </c>
      <c r="AA82" s="146">
        <f t="shared" si="13"/>
        <v>0</v>
      </c>
      <c r="AB82" s="198"/>
      <c r="AC82" s="1379"/>
      <c r="AD82" s="1380"/>
      <c r="AE82" s="62">
        <f t="shared" si="14"/>
        <v>0</v>
      </c>
      <c r="AF82" s="148">
        <f t="shared" si="15"/>
        <v>0</v>
      </c>
      <c r="AG82" s="198"/>
      <c r="AH82" s="1379"/>
      <c r="AI82" s="1380"/>
      <c r="AJ82"/>
      <c r="AK82"/>
      <c r="AL82"/>
      <c r="AM82"/>
      <c r="AN82"/>
    </row>
    <row r="83" spans="1:40" s="66" customFormat="1" ht="14.5">
      <c r="A83" s="186"/>
      <c r="B83" s="187"/>
      <c r="C83" s="188"/>
      <c r="D83" s="188"/>
      <c r="E83" s="189"/>
      <c r="F83" s="190"/>
      <c r="G83" s="190"/>
      <c r="H83" s="189"/>
      <c r="I83" s="189"/>
      <c r="J83" s="191"/>
      <c r="K83" s="191"/>
      <c r="L83" s="61">
        <f t="shared" si="8"/>
        <v>0</v>
      </c>
      <c r="M83" s="192"/>
      <c r="N83" s="193"/>
      <c r="O83" s="192"/>
      <c r="P83" s="194"/>
      <c r="Q83" s="195"/>
      <c r="R83" s="196"/>
      <c r="S83" s="197"/>
      <c r="T83" s="62">
        <f t="shared" si="9"/>
        <v>0</v>
      </c>
      <c r="U83" s="63">
        <f t="shared" si="10"/>
        <v>0</v>
      </c>
      <c r="V83" s="145">
        <f t="shared" si="11"/>
        <v>0</v>
      </c>
      <c r="W83" s="198"/>
      <c r="X83" s="1379"/>
      <c r="Y83" s="1380"/>
      <c r="Z83" s="62">
        <f t="shared" si="12"/>
        <v>0</v>
      </c>
      <c r="AA83" s="146">
        <f t="shared" si="13"/>
        <v>0</v>
      </c>
      <c r="AB83" s="198"/>
      <c r="AC83" s="1379"/>
      <c r="AD83" s="1380"/>
      <c r="AE83" s="62">
        <f t="shared" si="14"/>
        <v>0</v>
      </c>
      <c r="AF83" s="148">
        <f t="shared" si="15"/>
        <v>0</v>
      </c>
      <c r="AG83" s="198"/>
      <c r="AH83" s="1379"/>
      <c r="AI83" s="1380"/>
      <c r="AJ83"/>
      <c r="AK83"/>
      <c r="AL83"/>
      <c r="AM83"/>
      <c r="AN83"/>
    </row>
    <row r="84" spans="1:40" s="66" customFormat="1" ht="14.5">
      <c r="A84" s="186"/>
      <c r="B84" s="187"/>
      <c r="C84" s="188"/>
      <c r="D84" s="188"/>
      <c r="E84" s="189"/>
      <c r="F84" s="190"/>
      <c r="G84" s="190"/>
      <c r="H84" s="189"/>
      <c r="I84" s="189"/>
      <c r="J84" s="191"/>
      <c r="K84" s="191"/>
      <c r="L84" s="61">
        <f t="shared" si="8"/>
        <v>0</v>
      </c>
      <c r="M84" s="192"/>
      <c r="N84" s="193"/>
      <c r="O84" s="192"/>
      <c r="P84" s="194"/>
      <c r="Q84" s="195"/>
      <c r="R84" s="196"/>
      <c r="S84" s="197"/>
      <c r="T84" s="62">
        <f t="shared" si="9"/>
        <v>0</v>
      </c>
      <c r="U84" s="63">
        <f t="shared" si="10"/>
        <v>0</v>
      </c>
      <c r="V84" s="145">
        <f t="shared" si="11"/>
        <v>0</v>
      </c>
      <c r="W84" s="198"/>
      <c r="X84" s="1379"/>
      <c r="Y84" s="1380"/>
      <c r="Z84" s="62">
        <f t="shared" si="12"/>
        <v>0</v>
      </c>
      <c r="AA84" s="146">
        <f t="shared" si="13"/>
        <v>0</v>
      </c>
      <c r="AB84" s="198"/>
      <c r="AC84" s="1379"/>
      <c r="AD84" s="1380"/>
      <c r="AE84" s="62">
        <f t="shared" si="14"/>
        <v>0</v>
      </c>
      <c r="AF84" s="148">
        <f t="shared" si="15"/>
        <v>0</v>
      </c>
      <c r="AG84" s="198"/>
      <c r="AH84" s="1379"/>
      <c r="AI84" s="1380"/>
      <c r="AJ84"/>
      <c r="AK84"/>
      <c r="AL84"/>
      <c r="AM84"/>
      <c r="AN84"/>
    </row>
    <row r="85" spans="1:40" s="66" customFormat="1" ht="14.5">
      <c r="A85" s="186"/>
      <c r="B85" s="187"/>
      <c r="C85" s="188"/>
      <c r="D85" s="188"/>
      <c r="E85" s="189"/>
      <c r="F85" s="190"/>
      <c r="G85" s="190"/>
      <c r="H85" s="189"/>
      <c r="I85" s="189"/>
      <c r="J85" s="191"/>
      <c r="K85" s="191"/>
      <c r="L85" s="61">
        <f t="shared" si="8"/>
        <v>0</v>
      </c>
      <c r="M85" s="192"/>
      <c r="N85" s="193"/>
      <c r="O85" s="192"/>
      <c r="P85" s="194"/>
      <c r="Q85" s="195"/>
      <c r="R85" s="196"/>
      <c r="S85" s="197"/>
      <c r="T85" s="62">
        <f t="shared" si="9"/>
        <v>0</v>
      </c>
      <c r="U85" s="63">
        <f t="shared" si="10"/>
        <v>0</v>
      </c>
      <c r="V85" s="145">
        <f t="shared" si="11"/>
        <v>0</v>
      </c>
      <c r="W85" s="198"/>
      <c r="X85" s="1379"/>
      <c r="Y85" s="1380"/>
      <c r="Z85" s="62">
        <f t="shared" si="12"/>
        <v>0</v>
      </c>
      <c r="AA85" s="146">
        <f t="shared" si="13"/>
        <v>0</v>
      </c>
      <c r="AB85" s="198"/>
      <c r="AC85" s="1379"/>
      <c r="AD85" s="1380"/>
      <c r="AE85" s="62">
        <f t="shared" si="14"/>
        <v>0</v>
      </c>
      <c r="AF85" s="148">
        <f t="shared" si="15"/>
        <v>0</v>
      </c>
      <c r="AG85" s="198"/>
      <c r="AH85" s="1379"/>
      <c r="AI85" s="1380"/>
      <c r="AJ85"/>
      <c r="AK85"/>
      <c r="AL85"/>
      <c r="AM85"/>
      <c r="AN85"/>
    </row>
    <row r="86" spans="1:40" s="66" customFormat="1" ht="14.5">
      <c r="A86" s="186"/>
      <c r="B86" s="187"/>
      <c r="C86" s="188"/>
      <c r="D86" s="188"/>
      <c r="E86" s="189"/>
      <c r="F86" s="190"/>
      <c r="G86" s="190"/>
      <c r="H86" s="189"/>
      <c r="I86" s="189"/>
      <c r="J86" s="191"/>
      <c r="K86" s="191"/>
      <c r="L86" s="61">
        <f t="shared" si="8"/>
        <v>0</v>
      </c>
      <c r="M86" s="192"/>
      <c r="N86" s="193"/>
      <c r="O86" s="192"/>
      <c r="P86" s="194"/>
      <c r="Q86" s="195"/>
      <c r="R86" s="196"/>
      <c r="S86" s="197"/>
      <c r="T86" s="62">
        <f t="shared" si="9"/>
        <v>0</v>
      </c>
      <c r="U86" s="63">
        <f t="shared" si="10"/>
        <v>0</v>
      </c>
      <c r="V86" s="145">
        <f t="shared" si="11"/>
        <v>0</v>
      </c>
      <c r="W86" s="198"/>
      <c r="X86" s="1379"/>
      <c r="Y86" s="1380"/>
      <c r="Z86" s="62">
        <f t="shared" si="12"/>
        <v>0</v>
      </c>
      <c r="AA86" s="146">
        <f t="shared" si="13"/>
        <v>0</v>
      </c>
      <c r="AB86" s="198"/>
      <c r="AC86" s="1379"/>
      <c r="AD86" s="1380"/>
      <c r="AE86" s="62">
        <f t="shared" si="14"/>
        <v>0</v>
      </c>
      <c r="AF86" s="148">
        <f t="shared" si="15"/>
        <v>0</v>
      </c>
      <c r="AG86" s="198"/>
      <c r="AH86" s="1379"/>
      <c r="AI86" s="1380"/>
      <c r="AJ86"/>
      <c r="AK86"/>
      <c r="AL86"/>
      <c r="AM86"/>
      <c r="AN86"/>
    </row>
    <row r="87" spans="1:40" s="66" customFormat="1" ht="14.5">
      <c r="A87" s="186"/>
      <c r="B87" s="187"/>
      <c r="C87" s="188"/>
      <c r="D87" s="188"/>
      <c r="E87" s="189"/>
      <c r="F87" s="190"/>
      <c r="G87" s="190"/>
      <c r="H87" s="189"/>
      <c r="I87" s="189"/>
      <c r="J87" s="191"/>
      <c r="K87" s="191"/>
      <c r="L87" s="61">
        <f t="shared" si="8"/>
        <v>0</v>
      </c>
      <c r="M87" s="192"/>
      <c r="N87" s="193"/>
      <c r="O87" s="192"/>
      <c r="P87" s="194"/>
      <c r="Q87" s="195"/>
      <c r="R87" s="196"/>
      <c r="S87" s="197"/>
      <c r="T87" s="62">
        <f t="shared" si="9"/>
        <v>0</v>
      </c>
      <c r="U87" s="63">
        <f t="shared" si="10"/>
        <v>0</v>
      </c>
      <c r="V87" s="145">
        <f t="shared" si="11"/>
        <v>0</v>
      </c>
      <c r="W87" s="198"/>
      <c r="X87" s="1379"/>
      <c r="Y87" s="1380"/>
      <c r="Z87" s="62">
        <f t="shared" si="12"/>
        <v>0</v>
      </c>
      <c r="AA87" s="146">
        <f t="shared" si="13"/>
        <v>0</v>
      </c>
      <c r="AB87" s="198"/>
      <c r="AC87" s="1379"/>
      <c r="AD87" s="1380"/>
      <c r="AE87" s="62">
        <f t="shared" si="14"/>
        <v>0</v>
      </c>
      <c r="AF87" s="148">
        <f t="shared" si="15"/>
        <v>0</v>
      </c>
      <c r="AG87" s="198"/>
      <c r="AH87" s="1379"/>
      <c r="AI87" s="1380"/>
      <c r="AJ87"/>
      <c r="AK87"/>
      <c r="AL87"/>
      <c r="AM87"/>
      <c r="AN87"/>
    </row>
    <row r="88" spans="1:40" s="66" customFormat="1" ht="14.5">
      <c r="A88" s="186"/>
      <c r="B88" s="187"/>
      <c r="C88" s="188"/>
      <c r="D88" s="188"/>
      <c r="E88" s="189"/>
      <c r="F88" s="190"/>
      <c r="G88" s="190"/>
      <c r="H88" s="189"/>
      <c r="I88" s="189"/>
      <c r="J88" s="191"/>
      <c r="K88" s="191"/>
      <c r="L88" s="61">
        <f t="shared" si="8"/>
        <v>0</v>
      </c>
      <c r="M88" s="192"/>
      <c r="N88" s="193"/>
      <c r="O88" s="192"/>
      <c r="P88" s="194"/>
      <c r="Q88" s="195"/>
      <c r="R88" s="196"/>
      <c r="S88" s="197"/>
      <c r="T88" s="62">
        <f t="shared" si="9"/>
        <v>0</v>
      </c>
      <c r="U88" s="63">
        <f t="shared" si="10"/>
        <v>0</v>
      </c>
      <c r="V88" s="145">
        <f t="shared" si="11"/>
        <v>0</v>
      </c>
      <c r="W88" s="198"/>
      <c r="X88" s="1379"/>
      <c r="Y88" s="1380"/>
      <c r="Z88" s="62">
        <f t="shared" si="12"/>
        <v>0</v>
      </c>
      <c r="AA88" s="146">
        <f t="shared" si="13"/>
        <v>0</v>
      </c>
      <c r="AB88" s="198"/>
      <c r="AC88" s="1379"/>
      <c r="AD88" s="1380"/>
      <c r="AE88" s="62">
        <f t="shared" si="14"/>
        <v>0</v>
      </c>
      <c r="AF88" s="148">
        <f t="shared" si="15"/>
        <v>0</v>
      </c>
      <c r="AG88" s="198"/>
      <c r="AH88" s="1379"/>
      <c r="AI88" s="1380"/>
      <c r="AJ88"/>
      <c r="AK88"/>
      <c r="AL88"/>
      <c r="AM88"/>
      <c r="AN88"/>
    </row>
    <row r="89" spans="1:40" s="66" customFormat="1" ht="14.5">
      <c r="A89" s="186"/>
      <c r="B89" s="187"/>
      <c r="C89" s="188"/>
      <c r="D89" s="188"/>
      <c r="E89" s="189"/>
      <c r="F89" s="190"/>
      <c r="G89" s="190"/>
      <c r="H89" s="189"/>
      <c r="I89" s="189"/>
      <c r="J89" s="191"/>
      <c r="K89" s="191"/>
      <c r="L89" s="61">
        <f t="shared" si="8"/>
        <v>0</v>
      </c>
      <c r="M89" s="192"/>
      <c r="N89" s="193"/>
      <c r="O89" s="192"/>
      <c r="P89" s="194"/>
      <c r="Q89" s="195"/>
      <c r="R89" s="196"/>
      <c r="S89" s="197"/>
      <c r="T89" s="62">
        <f t="shared" si="9"/>
        <v>0</v>
      </c>
      <c r="U89" s="63">
        <f t="shared" si="10"/>
        <v>0</v>
      </c>
      <c r="V89" s="145">
        <f t="shared" si="11"/>
        <v>0</v>
      </c>
      <c r="W89" s="198"/>
      <c r="X89" s="1379"/>
      <c r="Y89" s="1380"/>
      <c r="Z89" s="62">
        <f t="shared" si="12"/>
        <v>0</v>
      </c>
      <c r="AA89" s="146">
        <f t="shared" si="13"/>
        <v>0</v>
      </c>
      <c r="AB89" s="198"/>
      <c r="AC89" s="1379"/>
      <c r="AD89" s="1380"/>
      <c r="AE89" s="62">
        <f t="shared" si="14"/>
        <v>0</v>
      </c>
      <c r="AF89" s="148">
        <f t="shared" si="15"/>
        <v>0</v>
      </c>
      <c r="AG89" s="198"/>
      <c r="AH89" s="1379"/>
      <c r="AI89" s="1380"/>
      <c r="AJ89"/>
      <c r="AK89"/>
      <c r="AL89"/>
      <c r="AM89"/>
      <c r="AN89"/>
    </row>
    <row r="90" spans="1:40" s="66" customFormat="1" ht="14.5">
      <c r="A90" s="186"/>
      <c r="B90" s="187"/>
      <c r="C90" s="188"/>
      <c r="D90" s="188"/>
      <c r="E90" s="189"/>
      <c r="F90" s="190"/>
      <c r="G90" s="190"/>
      <c r="H90" s="189"/>
      <c r="I90" s="189"/>
      <c r="J90" s="191"/>
      <c r="K90" s="191"/>
      <c r="L90" s="61">
        <f t="shared" si="8"/>
        <v>0</v>
      </c>
      <c r="M90" s="192"/>
      <c r="N90" s="193"/>
      <c r="O90" s="192"/>
      <c r="P90" s="194"/>
      <c r="Q90" s="195"/>
      <c r="R90" s="196"/>
      <c r="S90" s="197"/>
      <c r="T90" s="62">
        <f t="shared" si="9"/>
        <v>0</v>
      </c>
      <c r="U90" s="63">
        <f t="shared" si="10"/>
        <v>0</v>
      </c>
      <c r="V90" s="145">
        <f t="shared" si="11"/>
        <v>0</v>
      </c>
      <c r="W90" s="198"/>
      <c r="X90" s="1379"/>
      <c r="Y90" s="1380"/>
      <c r="Z90" s="62">
        <f t="shared" si="12"/>
        <v>0</v>
      </c>
      <c r="AA90" s="146">
        <f t="shared" si="13"/>
        <v>0</v>
      </c>
      <c r="AB90" s="198"/>
      <c r="AC90" s="1379"/>
      <c r="AD90" s="1380"/>
      <c r="AE90" s="62">
        <f t="shared" si="14"/>
        <v>0</v>
      </c>
      <c r="AF90" s="148">
        <f t="shared" si="15"/>
        <v>0</v>
      </c>
      <c r="AG90" s="198"/>
      <c r="AH90" s="1379"/>
      <c r="AI90" s="1380"/>
      <c r="AJ90"/>
      <c r="AK90"/>
      <c r="AL90"/>
      <c r="AM90"/>
      <c r="AN90"/>
    </row>
    <row r="91" spans="1:40" s="66" customFormat="1" ht="14.5">
      <c r="A91" s="186"/>
      <c r="B91" s="187"/>
      <c r="C91" s="188"/>
      <c r="D91" s="188"/>
      <c r="E91" s="189"/>
      <c r="F91" s="190"/>
      <c r="G91" s="190"/>
      <c r="H91" s="189"/>
      <c r="I91" s="189"/>
      <c r="J91" s="191"/>
      <c r="K91" s="191"/>
      <c r="L91" s="61">
        <f t="shared" si="8"/>
        <v>0</v>
      </c>
      <c r="M91" s="192"/>
      <c r="N91" s="193"/>
      <c r="O91" s="192"/>
      <c r="P91" s="194"/>
      <c r="Q91" s="195"/>
      <c r="R91" s="196"/>
      <c r="S91" s="197"/>
      <c r="T91" s="62">
        <f t="shared" si="9"/>
        <v>0</v>
      </c>
      <c r="U91" s="63">
        <f t="shared" si="10"/>
        <v>0</v>
      </c>
      <c r="V91" s="145">
        <f t="shared" si="11"/>
        <v>0</v>
      </c>
      <c r="W91" s="198"/>
      <c r="X91" s="1379"/>
      <c r="Y91" s="1380"/>
      <c r="Z91" s="62">
        <f t="shared" si="12"/>
        <v>0</v>
      </c>
      <c r="AA91" s="146">
        <f t="shared" si="13"/>
        <v>0</v>
      </c>
      <c r="AB91" s="198"/>
      <c r="AC91" s="1379"/>
      <c r="AD91" s="1380"/>
      <c r="AE91" s="62">
        <f t="shared" si="14"/>
        <v>0</v>
      </c>
      <c r="AF91" s="148">
        <f t="shared" si="15"/>
        <v>0</v>
      </c>
      <c r="AG91" s="198"/>
      <c r="AH91" s="1379"/>
      <c r="AI91" s="1380"/>
      <c r="AJ91"/>
      <c r="AK91"/>
      <c r="AL91"/>
      <c r="AM91"/>
      <c r="AN91"/>
    </row>
    <row r="92" spans="1:40" s="66" customFormat="1" ht="14.5">
      <c r="A92" s="186"/>
      <c r="B92" s="187"/>
      <c r="C92" s="188"/>
      <c r="D92" s="188"/>
      <c r="E92" s="189"/>
      <c r="F92" s="190"/>
      <c r="G92" s="190"/>
      <c r="H92" s="189"/>
      <c r="I92" s="189"/>
      <c r="J92" s="191"/>
      <c r="K92" s="191"/>
      <c r="L92" s="61">
        <f t="shared" si="8"/>
        <v>0</v>
      </c>
      <c r="M92" s="192"/>
      <c r="N92" s="193"/>
      <c r="O92" s="192"/>
      <c r="P92" s="194"/>
      <c r="Q92" s="195"/>
      <c r="R92" s="196"/>
      <c r="S92" s="197"/>
      <c r="T92" s="62">
        <f t="shared" si="9"/>
        <v>0</v>
      </c>
      <c r="U92" s="63">
        <f t="shared" si="10"/>
        <v>0</v>
      </c>
      <c r="V92" s="145">
        <f t="shared" si="11"/>
        <v>0</v>
      </c>
      <c r="W92" s="198"/>
      <c r="X92" s="1379"/>
      <c r="Y92" s="1380"/>
      <c r="Z92" s="62">
        <f t="shared" si="12"/>
        <v>0</v>
      </c>
      <c r="AA92" s="146">
        <f t="shared" si="13"/>
        <v>0</v>
      </c>
      <c r="AB92" s="198"/>
      <c r="AC92" s="1379"/>
      <c r="AD92" s="1380"/>
      <c r="AE92" s="62">
        <f t="shared" si="14"/>
        <v>0</v>
      </c>
      <c r="AF92" s="148">
        <f t="shared" si="15"/>
        <v>0</v>
      </c>
      <c r="AG92" s="198"/>
      <c r="AH92" s="1379"/>
      <c r="AI92" s="1380"/>
      <c r="AJ92"/>
      <c r="AK92"/>
      <c r="AL92"/>
      <c r="AM92"/>
      <c r="AN92"/>
    </row>
    <row r="93" spans="1:40" s="66" customFormat="1" ht="14.5">
      <c r="A93" s="186"/>
      <c r="B93" s="187"/>
      <c r="C93" s="188"/>
      <c r="D93" s="188"/>
      <c r="E93" s="189"/>
      <c r="F93" s="190"/>
      <c r="G93" s="190"/>
      <c r="H93" s="189"/>
      <c r="I93" s="189"/>
      <c r="J93" s="191"/>
      <c r="K93" s="191"/>
      <c r="L93" s="61">
        <f t="shared" si="8"/>
        <v>0</v>
      </c>
      <c r="M93" s="192"/>
      <c r="N93" s="193"/>
      <c r="O93" s="192"/>
      <c r="P93" s="194"/>
      <c r="Q93" s="195"/>
      <c r="R93" s="196"/>
      <c r="S93" s="197"/>
      <c r="T93" s="62">
        <f t="shared" si="9"/>
        <v>0</v>
      </c>
      <c r="U93" s="63">
        <f t="shared" si="10"/>
        <v>0</v>
      </c>
      <c r="V93" s="145">
        <f t="shared" si="11"/>
        <v>0</v>
      </c>
      <c r="W93" s="198"/>
      <c r="X93" s="1379"/>
      <c r="Y93" s="1380"/>
      <c r="Z93" s="62">
        <f t="shared" si="12"/>
        <v>0</v>
      </c>
      <c r="AA93" s="146">
        <f t="shared" si="13"/>
        <v>0</v>
      </c>
      <c r="AB93" s="198"/>
      <c r="AC93" s="1379"/>
      <c r="AD93" s="1380"/>
      <c r="AE93" s="62">
        <f t="shared" si="14"/>
        <v>0</v>
      </c>
      <c r="AF93" s="148">
        <f t="shared" si="15"/>
        <v>0</v>
      </c>
      <c r="AG93" s="198"/>
      <c r="AH93" s="1379"/>
      <c r="AI93" s="1380"/>
      <c r="AJ93"/>
      <c r="AK93"/>
      <c r="AL93"/>
      <c r="AM93"/>
      <c r="AN93"/>
    </row>
    <row r="94" spans="1:40" s="66" customFormat="1" ht="14.5">
      <c r="A94" s="186"/>
      <c r="B94" s="187"/>
      <c r="C94" s="188"/>
      <c r="D94" s="188"/>
      <c r="E94" s="189"/>
      <c r="F94" s="190"/>
      <c r="G94" s="190"/>
      <c r="H94" s="189"/>
      <c r="I94" s="189"/>
      <c r="J94" s="191"/>
      <c r="K94" s="191"/>
      <c r="L94" s="61">
        <f t="shared" si="8"/>
        <v>0</v>
      </c>
      <c r="M94" s="192"/>
      <c r="N94" s="193"/>
      <c r="O94" s="192"/>
      <c r="P94" s="194"/>
      <c r="Q94" s="195"/>
      <c r="R94" s="196"/>
      <c r="S94" s="197"/>
      <c r="T94" s="62">
        <f t="shared" si="9"/>
        <v>0</v>
      </c>
      <c r="U94" s="63">
        <f t="shared" si="10"/>
        <v>0</v>
      </c>
      <c r="V94" s="145">
        <f t="shared" si="11"/>
        <v>0</v>
      </c>
      <c r="W94" s="198"/>
      <c r="X94" s="1379"/>
      <c r="Y94" s="1380"/>
      <c r="Z94" s="62">
        <f t="shared" si="12"/>
        <v>0</v>
      </c>
      <c r="AA94" s="146">
        <f t="shared" si="13"/>
        <v>0</v>
      </c>
      <c r="AB94" s="198"/>
      <c r="AC94" s="1379"/>
      <c r="AD94" s="1380"/>
      <c r="AE94" s="62">
        <f t="shared" si="14"/>
        <v>0</v>
      </c>
      <c r="AF94" s="148">
        <f t="shared" si="15"/>
        <v>0</v>
      </c>
      <c r="AG94" s="198"/>
      <c r="AH94" s="1379"/>
      <c r="AI94" s="1380"/>
      <c r="AJ94"/>
      <c r="AK94"/>
      <c r="AL94"/>
      <c r="AM94"/>
      <c r="AN94"/>
    </row>
    <row r="95" spans="1:40" s="66" customFormat="1" ht="14.5">
      <c r="A95" s="186"/>
      <c r="B95" s="187"/>
      <c r="C95" s="188"/>
      <c r="D95" s="188"/>
      <c r="E95" s="189"/>
      <c r="F95" s="190"/>
      <c r="G95" s="190"/>
      <c r="H95" s="189"/>
      <c r="I95" s="189"/>
      <c r="J95" s="191"/>
      <c r="K95" s="191"/>
      <c r="L95" s="61">
        <f t="shared" si="8"/>
        <v>0</v>
      </c>
      <c r="M95" s="192"/>
      <c r="N95" s="193"/>
      <c r="O95" s="192"/>
      <c r="P95" s="194"/>
      <c r="Q95" s="195"/>
      <c r="R95" s="196"/>
      <c r="S95" s="197"/>
      <c r="T95" s="62">
        <f t="shared" si="9"/>
        <v>0</v>
      </c>
      <c r="U95" s="63">
        <f t="shared" si="10"/>
        <v>0</v>
      </c>
      <c r="V95" s="145">
        <f t="shared" si="11"/>
        <v>0</v>
      </c>
      <c r="W95" s="198"/>
      <c r="X95" s="1379"/>
      <c r="Y95" s="1380"/>
      <c r="Z95" s="62">
        <f t="shared" si="12"/>
        <v>0</v>
      </c>
      <c r="AA95" s="146">
        <f t="shared" si="13"/>
        <v>0</v>
      </c>
      <c r="AB95" s="198"/>
      <c r="AC95" s="1379"/>
      <c r="AD95" s="1380"/>
      <c r="AE95" s="62">
        <f t="shared" si="14"/>
        <v>0</v>
      </c>
      <c r="AF95" s="148">
        <f t="shared" si="15"/>
        <v>0</v>
      </c>
      <c r="AG95" s="198"/>
      <c r="AH95" s="1379"/>
      <c r="AI95" s="1380"/>
      <c r="AJ95"/>
      <c r="AK95"/>
      <c r="AL95"/>
      <c r="AM95"/>
      <c r="AN95"/>
    </row>
    <row r="96" spans="1:40" s="66" customFormat="1" ht="14.5">
      <c r="A96" s="186"/>
      <c r="B96" s="187"/>
      <c r="C96" s="188"/>
      <c r="D96" s="188"/>
      <c r="E96" s="189"/>
      <c r="F96" s="190"/>
      <c r="G96" s="190"/>
      <c r="H96" s="189"/>
      <c r="I96" s="189"/>
      <c r="J96" s="191"/>
      <c r="K96" s="191"/>
      <c r="L96" s="61">
        <f t="shared" si="8"/>
        <v>0</v>
      </c>
      <c r="M96" s="192"/>
      <c r="N96" s="193"/>
      <c r="O96" s="192"/>
      <c r="P96" s="194"/>
      <c r="Q96" s="195"/>
      <c r="R96" s="196"/>
      <c r="S96" s="197"/>
      <c r="T96" s="62">
        <f t="shared" si="9"/>
        <v>0</v>
      </c>
      <c r="U96" s="63">
        <f t="shared" si="10"/>
        <v>0</v>
      </c>
      <c r="V96" s="145">
        <f t="shared" si="11"/>
        <v>0</v>
      </c>
      <c r="W96" s="198"/>
      <c r="X96" s="1379"/>
      <c r="Y96" s="1380"/>
      <c r="Z96" s="62">
        <f t="shared" si="12"/>
        <v>0</v>
      </c>
      <c r="AA96" s="146">
        <f t="shared" si="13"/>
        <v>0</v>
      </c>
      <c r="AB96" s="198"/>
      <c r="AC96" s="1379"/>
      <c r="AD96" s="1380"/>
      <c r="AE96" s="62">
        <f t="shared" si="14"/>
        <v>0</v>
      </c>
      <c r="AF96" s="148">
        <f t="shared" si="15"/>
        <v>0</v>
      </c>
      <c r="AG96" s="198"/>
      <c r="AH96" s="1379"/>
      <c r="AI96" s="1380"/>
      <c r="AJ96"/>
      <c r="AK96"/>
      <c r="AL96"/>
      <c r="AM96"/>
      <c r="AN96"/>
    </row>
    <row r="97" spans="1:40" s="66" customFormat="1" ht="14.5">
      <c r="A97" s="186"/>
      <c r="B97" s="187"/>
      <c r="C97" s="188"/>
      <c r="D97" s="188"/>
      <c r="E97" s="189"/>
      <c r="F97" s="190"/>
      <c r="G97" s="190"/>
      <c r="H97" s="189"/>
      <c r="I97" s="189"/>
      <c r="J97" s="191"/>
      <c r="K97" s="191"/>
      <c r="L97" s="61">
        <f t="shared" si="8"/>
        <v>0</v>
      </c>
      <c r="M97" s="192"/>
      <c r="N97" s="193"/>
      <c r="O97" s="192"/>
      <c r="P97" s="194"/>
      <c r="Q97" s="195"/>
      <c r="R97" s="196"/>
      <c r="S97" s="197"/>
      <c r="T97" s="62">
        <f t="shared" si="9"/>
        <v>0</v>
      </c>
      <c r="U97" s="63">
        <f t="shared" si="10"/>
        <v>0</v>
      </c>
      <c r="V97" s="145">
        <f t="shared" si="11"/>
        <v>0</v>
      </c>
      <c r="W97" s="198"/>
      <c r="X97" s="1379"/>
      <c r="Y97" s="1380"/>
      <c r="Z97" s="62">
        <f t="shared" si="12"/>
        <v>0</v>
      </c>
      <c r="AA97" s="146">
        <f t="shared" si="13"/>
        <v>0</v>
      </c>
      <c r="AB97" s="198"/>
      <c r="AC97" s="1379"/>
      <c r="AD97" s="1380"/>
      <c r="AE97" s="62">
        <f t="shared" si="14"/>
        <v>0</v>
      </c>
      <c r="AF97" s="148">
        <f t="shared" si="15"/>
        <v>0</v>
      </c>
      <c r="AG97" s="198"/>
      <c r="AH97" s="1379"/>
      <c r="AI97" s="1380"/>
      <c r="AJ97"/>
      <c r="AK97"/>
      <c r="AL97"/>
      <c r="AM97"/>
      <c r="AN97"/>
    </row>
    <row r="98" spans="1:40" s="66" customFormat="1" ht="14.5">
      <c r="A98" s="186"/>
      <c r="B98" s="187"/>
      <c r="C98" s="188"/>
      <c r="D98" s="188"/>
      <c r="E98" s="189"/>
      <c r="F98" s="190"/>
      <c r="G98" s="190"/>
      <c r="H98" s="189"/>
      <c r="I98" s="189"/>
      <c r="J98" s="191"/>
      <c r="K98" s="191"/>
      <c r="L98" s="61">
        <f t="shared" si="8"/>
        <v>0</v>
      </c>
      <c r="M98" s="192"/>
      <c r="N98" s="193"/>
      <c r="O98" s="192"/>
      <c r="P98" s="194"/>
      <c r="Q98" s="195"/>
      <c r="R98" s="196"/>
      <c r="S98" s="197"/>
      <c r="T98" s="62">
        <f t="shared" si="9"/>
        <v>0</v>
      </c>
      <c r="U98" s="63">
        <f t="shared" si="10"/>
        <v>0</v>
      </c>
      <c r="V98" s="145">
        <f t="shared" si="11"/>
        <v>0</v>
      </c>
      <c r="W98" s="198"/>
      <c r="X98" s="1379"/>
      <c r="Y98" s="1380"/>
      <c r="Z98" s="62">
        <f t="shared" si="12"/>
        <v>0</v>
      </c>
      <c r="AA98" s="146">
        <f t="shared" si="13"/>
        <v>0</v>
      </c>
      <c r="AB98" s="198"/>
      <c r="AC98" s="1379"/>
      <c r="AD98" s="1380"/>
      <c r="AE98" s="62">
        <f t="shared" si="14"/>
        <v>0</v>
      </c>
      <c r="AF98" s="148">
        <f t="shared" si="15"/>
        <v>0</v>
      </c>
      <c r="AG98" s="198"/>
      <c r="AH98" s="1379"/>
      <c r="AI98" s="1380"/>
      <c r="AJ98"/>
      <c r="AK98"/>
      <c r="AL98"/>
      <c r="AM98"/>
      <c r="AN98"/>
    </row>
    <row r="99" spans="1:40" s="66" customFormat="1" ht="14.5">
      <c r="A99" s="186"/>
      <c r="B99" s="187"/>
      <c r="C99" s="188"/>
      <c r="D99" s="188"/>
      <c r="E99" s="189"/>
      <c r="F99" s="190"/>
      <c r="G99" s="190"/>
      <c r="H99" s="189"/>
      <c r="I99" s="189"/>
      <c r="J99" s="191"/>
      <c r="K99" s="191"/>
      <c r="L99" s="61">
        <f t="shared" si="8"/>
        <v>0</v>
      </c>
      <c r="M99" s="192"/>
      <c r="N99" s="193"/>
      <c r="O99" s="192"/>
      <c r="P99" s="194"/>
      <c r="Q99" s="195"/>
      <c r="R99" s="196"/>
      <c r="S99" s="197"/>
      <c r="T99" s="62">
        <f t="shared" si="9"/>
        <v>0</v>
      </c>
      <c r="U99" s="63">
        <f t="shared" si="10"/>
        <v>0</v>
      </c>
      <c r="V99" s="145">
        <f t="shared" si="11"/>
        <v>0</v>
      </c>
      <c r="W99" s="198"/>
      <c r="X99" s="1379"/>
      <c r="Y99" s="1380"/>
      <c r="Z99" s="62">
        <f t="shared" si="12"/>
        <v>0</v>
      </c>
      <c r="AA99" s="146">
        <f t="shared" si="13"/>
        <v>0</v>
      </c>
      <c r="AB99" s="198"/>
      <c r="AC99" s="1379"/>
      <c r="AD99" s="1380"/>
      <c r="AE99" s="62">
        <f t="shared" si="14"/>
        <v>0</v>
      </c>
      <c r="AF99" s="148">
        <f t="shared" si="15"/>
        <v>0</v>
      </c>
      <c r="AG99" s="198"/>
      <c r="AH99" s="1379"/>
      <c r="AI99" s="1380"/>
      <c r="AJ99"/>
      <c r="AK99"/>
      <c r="AL99"/>
      <c r="AM99"/>
      <c r="AN99"/>
    </row>
    <row r="100" spans="1:40" s="66" customFormat="1" ht="14.5">
      <c r="A100" s="186"/>
      <c r="B100" s="187"/>
      <c r="C100" s="188"/>
      <c r="D100" s="188"/>
      <c r="E100" s="189"/>
      <c r="F100" s="190"/>
      <c r="G100" s="190"/>
      <c r="H100" s="189"/>
      <c r="I100" s="189"/>
      <c r="J100" s="191"/>
      <c r="K100" s="191"/>
      <c r="L100" s="61">
        <f t="shared" si="8"/>
        <v>0</v>
      </c>
      <c r="M100" s="192"/>
      <c r="N100" s="193"/>
      <c r="O100" s="192"/>
      <c r="P100" s="194"/>
      <c r="Q100" s="195"/>
      <c r="R100" s="196"/>
      <c r="S100" s="197"/>
      <c r="T100" s="62">
        <f t="shared" si="9"/>
        <v>0</v>
      </c>
      <c r="U100" s="63">
        <f t="shared" si="10"/>
        <v>0</v>
      </c>
      <c r="V100" s="145">
        <f t="shared" si="11"/>
        <v>0</v>
      </c>
      <c r="W100" s="198"/>
      <c r="X100" s="1379"/>
      <c r="Y100" s="1380"/>
      <c r="Z100" s="62">
        <f t="shared" si="12"/>
        <v>0</v>
      </c>
      <c r="AA100" s="146">
        <f t="shared" si="13"/>
        <v>0</v>
      </c>
      <c r="AB100" s="198"/>
      <c r="AC100" s="1379"/>
      <c r="AD100" s="1380"/>
      <c r="AE100" s="62">
        <f t="shared" si="14"/>
        <v>0</v>
      </c>
      <c r="AF100" s="148">
        <f t="shared" si="15"/>
        <v>0</v>
      </c>
      <c r="AG100" s="198"/>
      <c r="AH100" s="1379"/>
      <c r="AI100" s="1380"/>
      <c r="AJ100"/>
      <c r="AK100"/>
      <c r="AL100"/>
      <c r="AM100"/>
      <c r="AN100"/>
    </row>
    <row r="101" spans="1:40" s="66" customFormat="1" ht="14.5">
      <c r="A101" s="186"/>
      <c r="B101" s="187"/>
      <c r="C101" s="188"/>
      <c r="D101" s="188"/>
      <c r="E101" s="189"/>
      <c r="F101" s="190"/>
      <c r="G101" s="190"/>
      <c r="H101" s="189"/>
      <c r="I101" s="189"/>
      <c r="J101" s="191"/>
      <c r="K101" s="191"/>
      <c r="L101" s="61">
        <f t="shared" si="8"/>
        <v>0</v>
      </c>
      <c r="M101" s="192"/>
      <c r="N101" s="193"/>
      <c r="O101" s="192"/>
      <c r="P101" s="194"/>
      <c r="Q101" s="195"/>
      <c r="R101" s="196"/>
      <c r="S101" s="197"/>
      <c r="T101" s="62">
        <f t="shared" si="9"/>
        <v>0</v>
      </c>
      <c r="U101" s="63">
        <f t="shared" si="10"/>
        <v>0</v>
      </c>
      <c r="V101" s="145">
        <f t="shared" si="11"/>
        <v>0</v>
      </c>
      <c r="W101" s="198"/>
      <c r="X101" s="1379"/>
      <c r="Y101" s="1380"/>
      <c r="Z101" s="62">
        <f t="shared" si="12"/>
        <v>0</v>
      </c>
      <c r="AA101" s="146">
        <f t="shared" si="13"/>
        <v>0</v>
      </c>
      <c r="AB101" s="198"/>
      <c r="AC101" s="1379"/>
      <c r="AD101" s="1380"/>
      <c r="AE101" s="62">
        <f t="shared" si="14"/>
        <v>0</v>
      </c>
      <c r="AF101" s="148">
        <f t="shared" si="15"/>
        <v>0</v>
      </c>
      <c r="AG101" s="198"/>
      <c r="AH101" s="1379"/>
      <c r="AI101" s="1380"/>
      <c r="AJ101"/>
      <c r="AK101"/>
      <c r="AL101"/>
      <c r="AM101"/>
      <c r="AN101"/>
    </row>
    <row r="102" spans="1:40" s="66" customFormat="1" ht="14.5">
      <c r="A102" s="186"/>
      <c r="B102" s="187"/>
      <c r="C102" s="188"/>
      <c r="D102" s="188"/>
      <c r="E102" s="189"/>
      <c r="F102" s="190"/>
      <c r="G102" s="190"/>
      <c r="H102" s="189"/>
      <c r="I102" s="189"/>
      <c r="J102" s="191"/>
      <c r="K102" s="191"/>
      <c r="L102" s="61">
        <f t="shared" si="8"/>
        <v>0</v>
      </c>
      <c r="M102" s="192"/>
      <c r="N102" s="193"/>
      <c r="O102" s="192"/>
      <c r="P102" s="194"/>
      <c r="Q102" s="195"/>
      <c r="R102" s="196"/>
      <c r="S102" s="197"/>
      <c r="T102" s="62">
        <f t="shared" si="9"/>
        <v>0</v>
      </c>
      <c r="U102" s="63">
        <f t="shared" si="10"/>
        <v>0</v>
      </c>
      <c r="V102" s="145">
        <f t="shared" si="11"/>
        <v>0</v>
      </c>
      <c r="W102" s="198"/>
      <c r="X102" s="1379"/>
      <c r="Y102" s="1380"/>
      <c r="Z102" s="62">
        <f t="shared" si="12"/>
        <v>0</v>
      </c>
      <c r="AA102" s="146">
        <f t="shared" si="13"/>
        <v>0</v>
      </c>
      <c r="AB102" s="198"/>
      <c r="AC102" s="1379"/>
      <c r="AD102" s="1380"/>
      <c r="AE102" s="62">
        <f t="shared" si="14"/>
        <v>0</v>
      </c>
      <c r="AF102" s="148">
        <f t="shared" si="15"/>
        <v>0</v>
      </c>
      <c r="AG102" s="198"/>
      <c r="AH102" s="1379"/>
      <c r="AI102" s="1380"/>
      <c r="AJ102"/>
      <c r="AK102"/>
      <c r="AL102"/>
      <c r="AM102"/>
      <c r="AN102"/>
    </row>
    <row r="103" spans="1:40" s="66" customFormat="1" ht="14.5">
      <c r="A103" s="186"/>
      <c r="B103" s="187"/>
      <c r="C103" s="188"/>
      <c r="D103" s="188"/>
      <c r="E103" s="189"/>
      <c r="F103" s="190"/>
      <c r="G103" s="190"/>
      <c r="H103" s="189"/>
      <c r="I103" s="189"/>
      <c r="J103" s="191"/>
      <c r="K103" s="191"/>
      <c r="L103" s="61">
        <f t="shared" si="8"/>
        <v>0</v>
      </c>
      <c r="M103" s="192"/>
      <c r="N103" s="193"/>
      <c r="O103" s="192"/>
      <c r="P103" s="194"/>
      <c r="Q103" s="195"/>
      <c r="R103" s="196"/>
      <c r="S103" s="197"/>
      <c r="T103" s="62">
        <f t="shared" si="9"/>
        <v>0</v>
      </c>
      <c r="U103" s="63">
        <f t="shared" si="10"/>
        <v>0</v>
      </c>
      <c r="V103" s="145">
        <f t="shared" si="11"/>
        <v>0</v>
      </c>
      <c r="W103" s="198"/>
      <c r="X103" s="1379"/>
      <c r="Y103" s="1380"/>
      <c r="Z103" s="62">
        <f t="shared" si="12"/>
        <v>0</v>
      </c>
      <c r="AA103" s="146">
        <f t="shared" si="13"/>
        <v>0</v>
      </c>
      <c r="AB103" s="198"/>
      <c r="AC103" s="1379"/>
      <c r="AD103" s="1380"/>
      <c r="AE103" s="62">
        <f t="shared" si="14"/>
        <v>0</v>
      </c>
      <c r="AF103" s="148">
        <f t="shared" si="15"/>
        <v>0</v>
      </c>
      <c r="AG103" s="198"/>
      <c r="AH103" s="1379"/>
      <c r="AI103" s="1380"/>
      <c r="AJ103"/>
      <c r="AK103"/>
      <c r="AL103"/>
      <c r="AM103"/>
      <c r="AN103"/>
    </row>
    <row r="104" spans="1:40" s="66" customFormat="1" ht="14.5">
      <c r="A104" s="186"/>
      <c r="B104" s="187"/>
      <c r="C104" s="188"/>
      <c r="D104" s="188"/>
      <c r="E104" s="189"/>
      <c r="F104" s="190"/>
      <c r="G104" s="190"/>
      <c r="H104" s="189"/>
      <c r="I104" s="189"/>
      <c r="J104" s="191"/>
      <c r="K104" s="191"/>
      <c r="L104" s="61">
        <f t="shared" si="8"/>
        <v>0</v>
      </c>
      <c r="M104" s="192"/>
      <c r="N104" s="193"/>
      <c r="O104" s="192"/>
      <c r="P104" s="194"/>
      <c r="Q104" s="195"/>
      <c r="R104" s="196"/>
      <c r="S104" s="197"/>
      <c r="T104" s="62">
        <f t="shared" si="9"/>
        <v>0</v>
      </c>
      <c r="U104" s="63">
        <f t="shared" si="10"/>
        <v>0</v>
      </c>
      <c r="V104" s="145">
        <f t="shared" si="11"/>
        <v>0</v>
      </c>
      <c r="W104" s="198"/>
      <c r="X104" s="1379"/>
      <c r="Y104" s="1380"/>
      <c r="Z104" s="62">
        <f t="shared" si="12"/>
        <v>0</v>
      </c>
      <c r="AA104" s="146">
        <f t="shared" si="13"/>
        <v>0</v>
      </c>
      <c r="AB104" s="198"/>
      <c r="AC104" s="1379"/>
      <c r="AD104" s="1380"/>
      <c r="AE104" s="62">
        <f t="shared" si="14"/>
        <v>0</v>
      </c>
      <c r="AF104" s="148">
        <f t="shared" si="15"/>
        <v>0</v>
      </c>
      <c r="AG104" s="198"/>
      <c r="AH104" s="1379"/>
      <c r="AI104" s="1380"/>
      <c r="AJ104"/>
      <c r="AK104"/>
      <c r="AL104"/>
      <c r="AM104"/>
      <c r="AN104"/>
    </row>
    <row r="105" spans="1:40" s="66" customFormat="1" ht="14.5">
      <c r="A105" s="186"/>
      <c r="B105" s="187"/>
      <c r="C105" s="188"/>
      <c r="D105" s="188"/>
      <c r="E105" s="189"/>
      <c r="F105" s="190"/>
      <c r="G105" s="190"/>
      <c r="H105" s="189"/>
      <c r="I105" s="189"/>
      <c r="J105" s="191"/>
      <c r="K105" s="191"/>
      <c r="L105" s="61">
        <f t="shared" si="8"/>
        <v>0</v>
      </c>
      <c r="M105" s="192"/>
      <c r="N105" s="193"/>
      <c r="O105" s="192"/>
      <c r="P105" s="194"/>
      <c r="Q105" s="195"/>
      <c r="R105" s="196"/>
      <c r="S105" s="197"/>
      <c r="T105" s="62">
        <f t="shared" si="9"/>
        <v>0</v>
      </c>
      <c r="U105" s="63">
        <f t="shared" si="10"/>
        <v>0</v>
      </c>
      <c r="V105" s="145">
        <f t="shared" si="11"/>
        <v>0</v>
      </c>
      <c r="W105" s="198"/>
      <c r="X105" s="1379"/>
      <c r="Y105" s="1380"/>
      <c r="Z105" s="62">
        <f t="shared" si="12"/>
        <v>0</v>
      </c>
      <c r="AA105" s="146">
        <f t="shared" si="13"/>
        <v>0</v>
      </c>
      <c r="AB105" s="198"/>
      <c r="AC105" s="1379"/>
      <c r="AD105" s="1380"/>
      <c r="AE105" s="62">
        <f t="shared" si="14"/>
        <v>0</v>
      </c>
      <c r="AF105" s="148">
        <f t="shared" si="15"/>
        <v>0</v>
      </c>
      <c r="AG105" s="198"/>
      <c r="AH105" s="1379"/>
      <c r="AI105" s="1380"/>
      <c r="AJ105"/>
      <c r="AK105"/>
      <c r="AL105"/>
      <c r="AM105"/>
      <c r="AN105"/>
    </row>
    <row r="106" spans="1:40" s="66" customFormat="1" ht="14.5">
      <c r="A106" s="186"/>
      <c r="B106" s="187"/>
      <c r="C106" s="188"/>
      <c r="D106" s="188"/>
      <c r="E106" s="189"/>
      <c r="F106" s="190"/>
      <c r="G106" s="190"/>
      <c r="H106" s="189"/>
      <c r="I106" s="189"/>
      <c r="J106" s="191"/>
      <c r="K106" s="191"/>
      <c r="L106" s="61">
        <f t="shared" si="8"/>
        <v>0</v>
      </c>
      <c r="M106" s="192"/>
      <c r="N106" s="193"/>
      <c r="O106" s="192"/>
      <c r="P106" s="194"/>
      <c r="Q106" s="195"/>
      <c r="R106" s="196"/>
      <c r="S106" s="197"/>
      <c r="T106" s="62">
        <f t="shared" si="9"/>
        <v>0</v>
      </c>
      <c r="U106" s="63">
        <f t="shared" si="10"/>
        <v>0</v>
      </c>
      <c r="V106" s="145">
        <f t="shared" si="11"/>
        <v>0</v>
      </c>
      <c r="W106" s="198"/>
      <c r="X106" s="1379"/>
      <c r="Y106" s="1380"/>
      <c r="Z106" s="62">
        <f t="shared" si="12"/>
        <v>0</v>
      </c>
      <c r="AA106" s="146">
        <f t="shared" si="13"/>
        <v>0</v>
      </c>
      <c r="AB106" s="198"/>
      <c r="AC106" s="1379"/>
      <c r="AD106" s="1380"/>
      <c r="AE106" s="62">
        <f t="shared" si="14"/>
        <v>0</v>
      </c>
      <c r="AF106" s="148">
        <f t="shared" si="15"/>
        <v>0</v>
      </c>
      <c r="AG106" s="198"/>
      <c r="AH106" s="1379"/>
      <c r="AI106" s="1380"/>
      <c r="AJ106"/>
      <c r="AK106"/>
      <c r="AL106"/>
      <c r="AM106"/>
      <c r="AN106"/>
    </row>
    <row r="107" spans="1:40" s="66" customFormat="1" ht="14.5">
      <c r="A107" s="186"/>
      <c r="B107" s="187"/>
      <c r="C107" s="188"/>
      <c r="D107" s="188"/>
      <c r="E107" s="189"/>
      <c r="F107" s="190"/>
      <c r="G107" s="190"/>
      <c r="H107" s="189"/>
      <c r="I107" s="189"/>
      <c r="J107" s="191"/>
      <c r="K107" s="191"/>
      <c r="L107" s="61">
        <f t="shared" si="8"/>
        <v>0</v>
      </c>
      <c r="M107" s="192"/>
      <c r="N107" s="193"/>
      <c r="O107" s="192"/>
      <c r="P107" s="194"/>
      <c r="Q107" s="195"/>
      <c r="R107" s="196"/>
      <c r="S107" s="197"/>
      <c r="T107" s="62">
        <f t="shared" si="9"/>
        <v>0</v>
      </c>
      <c r="U107" s="63">
        <f t="shared" si="10"/>
        <v>0</v>
      </c>
      <c r="V107" s="145">
        <f t="shared" si="11"/>
        <v>0</v>
      </c>
      <c r="W107" s="198"/>
      <c r="X107" s="1379"/>
      <c r="Y107" s="1380"/>
      <c r="Z107" s="62">
        <f t="shared" si="12"/>
        <v>0</v>
      </c>
      <c r="AA107" s="146">
        <f t="shared" si="13"/>
        <v>0</v>
      </c>
      <c r="AB107" s="198"/>
      <c r="AC107" s="1379"/>
      <c r="AD107" s="1380"/>
      <c r="AE107" s="62">
        <f t="shared" si="14"/>
        <v>0</v>
      </c>
      <c r="AF107" s="148">
        <f t="shared" si="15"/>
        <v>0</v>
      </c>
      <c r="AG107" s="198"/>
      <c r="AH107" s="1379"/>
      <c r="AI107" s="1380"/>
      <c r="AJ107"/>
      <c r="AK107"/>
      <c r="AL107"/>
      <c r="AM107"/>
      <c r="AN107"/>
    </row>
    <row r="108" spans="1:40" s="66" customFormat="1" ht="14.5">
      <c r="A108" s="186"/>
      <c r="B108" s="187"/>
      <c r="C108" s="188"/>
      <c r="D108" s="188"/>
      <c r="E108" s="189"/>
      <c r="F108" s="190"/>
      <c r="G108" s="190"/>
      <c r="H108" s="189"/>
      <c r="I108" s="189"/>
      <c r="J108" s="191"/>
      <c r="K108" s="191"/>
      <c r="L108" s="61">
        <f t="shared" si="8"/>
        <v>0</v>
      </c>
      <c r="M108" s="192"/>
      <c r="N108" s="193"/>
      <c r="O108" s="192"/>
      <c r="P108" s="194"/>
      <c r="Q108" s="195"/>
      <c r="R108" s="196"/>
      <c r="S108" s="197"/>
      <c r="T108" s="62">
        <f t="shared" si="9"/>
        <v>0</v>
      </c>
      <c r="U108" s="63">
        <f t="shared" si="10"/>
        <v>0</v>
      </c>
      <c r="V108" s="145">
        <f t="shared" si="11"/>
        <v>0</v>
      </c>
      <c r="W108" s="198"/>
      <c r="X108" s="1379"/>
      <c r="Y108" s="1380"/>
      <c r="Z108" s="62">
        <f t="shared" si="12"/>
        <v>0</v>
      </c>
      <c r="AA108" s="146">
        <f t="shared" si="13"/>
        <v>0</v>
      </c>
      <c r="AB108" s="198"/>
      <c r="AC108" s="1379"/>
      <c r="AD108" s="1380"/>
      <c r="AE108" s="62">
        <f t="shared" si="14"/>
        <v>0</v>
      </c>
      <c r="AF108" s="148">
        <f t="shared" si="15"/>
        <v>0</v>
      </c>
      <c r="AG108" s="198"/>
      <c r="AH108" s="1379"/>
      <c r="AI108" s="1380"/>
      <c r="AJ108"/>
      <c r="AK108"/>
      <c r="AL108"/>
      <c r="AM108"/>
      <c r="AN108"/>
    </row>
    <row r="109" spans="1:40" s="66" customFormat="1" ht="14.5">
      <c r="A109" s="186"/>
      <c r="B109" s="187"/>
      <c r="C109" s="188"/>
      <c r="D109" s="188"/>
      <c r="E109" s="189"/>
      <c r="F109" s="190"/>
      <c r="G109" s="190"/>
      <c r="H109" s="189"/>
      <c r="I109" s="189"/>
      <c r="J109" s="191"/>
      <c r="K109" s="191"/>
      <c r="L109" s="61">
        <f t="shared" si="8"/>
        <v>0</v>
      </c>
      <c r="M109" s="192"/>
      <c r="N109" s="193"/>
      <c r="O109" s="192"/>
      <c r="P109" s="194"/>
      <c r="Q109" s="195"/>
      <c r="R109" s="196"/>
      <c r="S109" s="197"/>
      <c r="T109" s="62">
        <f t="shared" si="9"/>
        <v>0</v>
      </c>
      <c r="U109" s="63">
        <f t="shared" si="10"/>
        <v>0</v>
      </c>
      <c r="V109" s="145">
        <f t="shared" si="11"/>
        <v>0</v>
      </c>
      <c r="W109" s="198"/>
      <c r="X109" s="1379"/>
      <c r="Y109" s="1380"/>
      <c r="Z109" s="62">
        <f t="shared" si="12"/>
        <v>0</v>
      </c>
      <c r="AA109" s="146">
        <f t="shared" si="13"/>
        <v>0</v>
      </c>
      <c r="AB109" s="198"/>
      <c r="AC109" s="1379"/>
      <c r="AD109" s="1380"/>
      <c r="AE109" s="62">
        <f t="shared" si="14"/>
        <v>0</v>
      </c>
      <c r="AF109" s="148">
        <f t="shared" si="15"/>
        <v>0</v>
      </c>
      <c r="AG109" s="198"/>
      <c r="AH109" s="1379"/>
      <c r="AI109" s="1380"/>
      <c r="AJ109"/>
      <c r="AK109"/>
      <c r="AL109"/>
      <c r="AM109"/>
      <c r="AN109"/>
    </row>
    <row r="110" spans="1:40" s="66" customFormat="1" ht="14.5">
      <c r="A110" s="186"/>
      <c r="B110" s="187"/>
      <c r="C110" s="188"/>
      <c r="D110" s="188"/>
      <c r="E110" s="189"/>
      <c r="F110" s="190"/>
      <c r="G110" s="190"/>
      <c r="H110" s="189"/>
      <c r="I110" s="189"/>
      <c r="J110" s="191"/>
      <c r="K110" s="191"/>
      <c r="L110" s="61">
        <f t="shared" si="8"/>
        <v>0</v>
      </c>
      <c r="M110" s="192"/>
      <c r="N110" s="193"/>
      <c r="O110" s="192"/>
      <c r="P110" s="194"/>
      <c r="Q110" s="195"/>
      <c r="R110" s="196"/>
      <c r="S110" s="197"/>
      <c r="T110" s="62">
        <f t="shared" si="9"/>
        <v>0</v>
      </c>
      <c r="U110" s="63">
        <f t="shared" si="10"/>
        <v>0</v>
      </c>
      <c r="V110" s="145">
        <f t="shared" si="11"/>
        <v>0</v>
      </c>
      <c r="W110" s="198"/>
      <c r="X110" s="1379"/>
      <c r="Y110" s="1380"/>
      <c r="Z110" s="62">
        <f t="shared" si="12"/>
        <v>0</v>
      </c>
      <c r="AA110" s="146">
        <f t="shared" si="13"/>
        <v>0</v>
      </c>
      <c r="AB110" s="198"/>
      <c r="AC110" s="1379"/>
      <c r="AD110" s="1380"/>
      <c r="AE110" s="62">
        <f t="shared" si="14"/>
        <v>0</v>
      </c>
      <c r="AF110" s="148">
        <f t="shared" si="15"/>
        <v>0</v>
      </c>
      <c r="AG110" s="198"/>
      <c r="AH110" s="1379"/>
      <c r="AI110" s="1380"/>
      <c r="AJ110"/>
      <c r="AK110"/>
      <c r="AL110"/>
      <c r="AM110"/>
      <c r="AN110"/>
    </row>
    <row r="111" spans="1:40" s="66" customFormat="1" ht="14.5">
      <c r="A111" s="186"/>
      <c r="B111" s="187"/>
      <c r="C111" s="188"/>
      <c r="D111" s="188"/>
      <c r="E111" s="189"/>
      <c r="F111" s="190"/>
      <c r="G111" s="190"/>
      <c r="H111" s="189"/>
      <c r="I111" s="189"/>
      <c r="J111" s="191"/>
      <c r="K111" s="191"/>
      <c r="L111" s="61">
        <f t="shared" si="8"/>
        <v>0</v>
      </c>
      <c r="M111" s="192"/>
      <c r="N111" s="193"/>
      <c r="O111" s="192"/>
      <c r="P111" s="194"/>
      <c r="Q111" s="195"/>
      <c r="R111" s="196"/>
      <c r="S111" s="197"/>
      <c r="T111" s="62">
        <f t="shared" si="9"/>
        <v>0</v>
      </c>
      <c r="U111" s="63">
        <f t="shared" si="10"/>
        <v>0</v>
      </c>
      <c r="V111" s="145">
        <f t="shared" si="11"/>
        <v>0</v>
      </c>
      <c r="W111" s="198"/>
      <c r="X111" s="1379"/>
      <c r="Y111" s="1380"/>
      <c r="Z111" s="62">
        <f t="shared" si="12"/>
        <v>0</v>
      </c>
      <c r="AA111" s="146">
        <f t="shared" si="13"/>
        <v>0</v>
      </c>
      <c r="AB111" s="198"/>
      <c r="AC111" s="1379"/>
      <c r="AD111" s="1380"/>
      <c r="AE111" s="62">
        <f t="shared" si="14"/>
        <v>0</v>
      </c>
      <c r="AF111" s="148">
        <f t="shared" si="15"/>
        <v>0</v>
      </c>
      <c r="AG111" s="198"/>
      <c r="AH111" s="1379"/>
      <c r="AI111" s="1380"/>
      <c r="AJ111"/>
      <c r="AK111"/>
      <c r="AL111"/>
      <c r="AM111"/>
      <c r="AN111"/>
    </row>
    <row r="112" spans="1:40" s="66" customFormat="1" ht="14.5">
      <c r="A112" s="186"/>
      <c r="B112" s="187"/>
      <c r="C112" s="188"/>
      <c r="D112" s="188"/>
      <c r="E112" s="189"/>
      <c r="F112" s="190"/>
      <c r="G112" s="190"/>
      <c r="H112" s="189"/>
      <c r="I112" s="189"/>
      <c r="J112" s="191"/>
      <c r="K112" s="191"/>
      <c r="L112" s="61">
        <f t="shared" si="8"/>
        <v>0</v>
      </c>
      <c r="M112" s="192"/>
      <c r="N112" s="193"/>
      <c r="O112" s="192"/>
      <c r="P112" s="194"/>
      <c r="Q112" s="195"/>
      <c r="R112" s="196"/>
      <c r="S112" s="197"/>
      <c r="T112" s="62">
        <f t="shared" si="9"/>
        <v>0</v>
      </c>
      <c r="U112" s="63">
        <f t="shared" si="10"/>
        <v>0</v>
      </c>
      <c r="V112" s="145">
        <f t="shared" si="11"/>
        <v>0</v>
      </c>
      <c r="W112" s="198"/>
      <c r="X112" s="1379"/>
      <c r="Y112" s="1380"/>
      <c r="Z112" s="62">
        <f t="shared" si="12"/>
        <v>0</v>
      </c>
      <c r="AA112" s="146">
        <f t="shared" si="13"/>
        <v>0</v>
      </c>
      <c r="AB112" s="198"/>
      <c r="AC112" s="1379"/>
      <c r="AD112" s="1380"/>
      <c r="AE112" s="62">
        <f t="shared" si="14"/>
        <v>0</v>
      </c>
      <c r="AF112" s="148">
        <f t="shared" si="15"/>
        <v>0</v>
      </c>
      <c r="AG112" s="198"/>
      <c r="AH112" s="1379"/>
      <c r="AI112" s="1380"/>
      <c r="AJ112"/>
      <c r="AK112"/>
      <c r="AL112"/>
      <c r="AM112"/>
      <c r="AN112"/>
    </row>
    <row r="113" spans="1:40" s="66" customFormat="1" ht="14.5">
      <c r="A113" s="186"/>
      <c r="B113" s="187"/>
      <c r="C113" s="188"/>
      <c r="D113" s="188"/>
      <c r="E113" s="189"/>
      <c r="F113" s="190"/>
      <c r="G113" s="190"/>
      <c r="H113" s="189"/>
      <c r="I113" s="189"/>
      <c r="J113" s="191"/>
      <c r="K113" s="191"/>
      <c r="L113" s="61">
        <f t="shared" si="8"/>
        <v>0</v>
      </c>
      <c r="M113" s="192"/>
      <c r="N113" s="193"/>
      <c r="O113" s="192"/>
      <c r="P113" s="194"/>
      <c r="Q113" s="195"/>
      <c r="R113" s="196"/>
      <c r="S113" s="197"/>
      <c r="T113" s="62">
        <f t="shared" si="9"/>
        <v>0</v>
      </c>
      <c r="U113" s="63">
        <f t="shared" si="10"/>
        <v>0</v>
      </c>
      <c r="V113" s="145">
        <f t="shared" si="11"/>
        <v>0</v>
      </c>
      <c r="W113" s="198"/>
      <c r="X113" s="1379"/>
      <c r="Y113" s="1380"/>
      <c r="Z113" s="62">
        <f t="shared" si="12"/>
        <v>0</v>
      </c>
      <c r="AA113" s="146">
        <f t="shared" si="13"/>
        <v>0</v>
      </c>
      <c r="AB113" s="198"/>
      <c r="AC113" s="1379"/>
      <c r="AD113" s="1380"/>
      <c r="AE113" s="62">
        <f t="shared" si="14"/>
        <v>0</v>
      </c>
      <c r="AF113" s="148">
        <f t="shared" si="15"/>
        <v>0</v>
      </c>
      <c r="AG113" s="198"/>
      <c r="AH113" s="1379"/>
      <c r="AI113" s="1380"/>
      <c r="AJ113"/>
      <c r="AK113"/>
      <c r="AL113"/>
      <c r="AM113"/>
      <c r="AN113"/>
    </row>
    <row r="114" spans="1:40" s="66" customFormat="1" ht="14.5">
      <c r="A114" s="186"/>
      <c r="B114" s="187"/>
      <c r="C114" s="188"/>
      <c r="D114" s="188"/>
      <c r="E114" s="189"/>
      <c r="F114" s="190"/>
      <c r="G114" s="190"/>
      <c r="H114" s="189"/>
      <c r="I114" s="189"/>
      <c r="J114" s="191"/>
      <c r="K114" s="191"/>
      <c r="L114" s="61">
        <f t="shared" si="8"/>
        <v>0</v>
      </c>
      <c r="M114" s="192"/>
      <c r="N114" s="193"/>
      <c r="O114" s="192"/>
      <c r="P114" s="194"/>
      <c r="Q114" s="195"/>
      <c r="R114" s="196"/>
      <c r="S114" s="197"/>
      <c r="T114" s="62">
        <f t="shared" si="9"/>
        <v>0</v>
      </c>
      <c r="U114" s="63">
        <f t="shared" si="10"/>
        <v>0</v>
      </c>
      <c r="V114" s="145">
        <f t="shared" si="11"/>
        <v>0</v>
      </c>
      <c r="W114" s="198"/>
      <c r="X114" s="1379"/>
      <c r="Y114" s="1380"/>
      <c r="Z114" s="62">
        <f t="shared" si="12"/>
        <v>0</v>
      </c>
      <c r="AA114" s="146">
        <f t="shared" si="13"/>
        <v>0</v>
      </c>
      <c r="AB114" s="198"/>
      <c r="AC114" s="1379"/>
      <c r="AD114" s="1380"/>
      <c r="AE114" s="62">
        <f t="shared" si="14"/>
        <v>0</v>
      </c>
      <c r="AF114" s="148">
        <f t="shared" si="15"/>
        <v>0</v>
      </c>
      <c r="AG114" s="198"/>
      <c r="AH114" s="1379"/>
      <c r="AI114" s="1380"/>
      <c r="AJ114"/>
      <c r="AK114"/>
      <c r="AL114"/>
      <c r="AM114"/>
      <c r="AN114"/>
    </row>
    <row r="115" spans="1:40" s="66" customFormat="1" ht="14.5">
      <c r="A115" s="186"/>
      <c r="B115" s="187"/>
      <c r="C115" s="188"/>
      <c r="D115" s="188"/>
      <c r="E115" s="189"/>
      <c r="F115" s="190"/>
      <c r="G115" s="190"/>
      <c r="H115" s="189"/>
      <c r="I115" s="189"/>
      <c r="J115" s="191"/>
      <c r="K115" s="191"/>
      <c r="L115" s="61">
        <f t="shared" si="8"/>
        <v>0</v>
      </c>
      <c r="M115" s="192"/>
      <c r="N115" s="193"/>
      <c r="O115" s="192"/>
      <c r="P115" s="194"/>
      <c r="Q115" s="195"/>
      <c r="R115" s="196"/>
      <c r="S115" s="197"/>
      <c r="T115" s="62">
        <f t="shared" si="9"/>
        <v>0</v>
      </c>
      <c r="U115" s="63">
        <f t="shared" si="10"/>
        <v>0</v>
      </c>
      <c r="V115" s="145">
        <f t="shared" si="11"/>
        <v>0</v>
      </c>
      <c r="W115" s="198"/>
      <c r="X115" s="1379"/>
      <c r="Y115" s="1380"/>
      <c r="Z115" s="62">
        <f t="shared" si="12"/>
        <v>0</v>
      </c>
      <c r="AA115" s="146">
        <f t="shared" si="13"/>
        <v>0</v>
      </c>
      <c r="AB115" s="198"/>
      <c r="AC115" s="1379"/>
      <c r="AD115" s="1380"/>
      <c r="AE115" s="62">
        <f t="shared" si="14"/>
        <v>0</v>
      </c>
      <c r="AF115" s="148">
        <f t="shared" si="15"/>
        <v>0</v>
      </c>
      <c r="AG115" s="198"/>
      <c r="AH115" s="1379"/>
      <c r="AI115" s="1380"/>
      <c r="AJ115"/>
      <c r="AK115"/>
      <c r="AL115"/>
      <c r="AM115"/>
      <c r="AN115"/>
    </row>
    <row r="116" spans="1:40" s="66" customFormat="1" ht="14.5">
      <c r="A116" s="186"/>
      <c r="B116" s="187"/>
      <c r="C116" s="188"/>
      <c r="D116" s="188"/>
      <c r="E116" s="189"/>
      <c r="F116" s="190"/>
      <c r="G116" s="190"/>
      <c r="H116" s="189"/>
      <c r="I116" s="189"/>
      <c r="J116" s="191"/>
      <c r="K116" s="191"/>
      <c r="L116" s="61">
        <f t="shared" si="8"/>
        <v>0</v>
      </c>
      <c r="M116" s="192"/>
      <c r="N116" s="193"/>
      <c r="O116" s="192"/>
      <c r="P116" s="194"/>
      <c r="Q116" s="195"/>
      <c r="R116" s="196"/>
      <c r="S116" s="197"/>
      <c r="T116" s="62">
        <f t="shared" si="9"/>
        <v>0</v>
      </c>
      <c r="U116" s="63">
        <f t="shared" si="10"/>
        <v>0</v>
      </c>
      <c r="V116" s="145">
        <f t="shared" si="11"/>
        <v>0</v>
      </c>
      <c r="W116" s="198"/>
      <c r="X116" s="1379"/>
      <c r="Y116" s="1380"/>
      <c r="Z116" s="62">
        <f t="shared" si="12"/>
        <v>0</v>
      </c>
      <c r="AA116" s="146">
        <f t="shared" si="13"/>
        <v>0</v>
      </c>
      <c r="AB116" s="198"/>
      <c r="AC116" s="1379"/>
      <c r="AD116" s="1380"/>
      <c r="AE116" s="62">
        <f t="shared" si="14"/>
        <v>0</v>
      </c>
      <c r="AF116" s="148">
        <f t="shared" si="15"/>
        <v>0</v>
      </c>
      <c r="AG116" s="198"/>
      <c r="AH116" s="1379"/>
      <c r="AI116" s="1380"/>
      <c r="AJ116"/>
      <c r="AK116"/>
      <c r="AL116"/>
      <c r="AM116"/>
      <c r="AN116"/>
    </row>
    <row r="117" spans="1:40" s="66" customFormat="1" ht="14.5">
      <c r="A117" s="186"/>
      <c r="B117" s="187"/>
      <c r="C117" s="188"/>
      <c r="D117" s="188"/>
      <c r="E117" s="189"/>
      <c r="F117" s="190"/>
      <c r="G117" s="190"/>
      <c r="H117" s="189"/>
      <c r="I117" s="189"/>
      <c r="J117" s="191"/>
      <c r="K117" s="191"/>
      <c r="L117" s="61">
        <f t="shared" si="8"/>
        <v>0</v>
      </c>
      <c r="M117" s="192"/>
      <c r="N117" s="193"/>
      <c r="O117" s="192"/>
      <c r="P117" s="194"/>
      <c r="Q117" s="195"/>
      <c r="R117" s="196"/>
      <c r="S117" s="197"/>
      <c r="T117" s="62">
        <f t="shared" si="9"/>
        <v>0</v>
      </c>
      <c r="U117" s="63">
        <f t="shared" si="10"/>
        <v>0</v>
      </c>
      <c r="V117" s="145">
        <f t="shared" si="11"/>
        <v>0</v>
      </c>
      <c r="W117" s="198"/>
      <c r="X117" s="1379"/>
      <c r="Y117" s="1380"/>
      <c r="Z117" s="62">
        <f t="shared" si="12"/>
        <v>0</v>
      </c>
      <c r="AA117" s="146">
        <f t="shared" si="13"/>
        <v>0</v>
      </c>
      <c r="AB117" s="198"/>
      <c r="AC117" s="1379"/>
      <c r="AD117" s="1380"/>
      <c r="AE117" s="62">
        <f t="shared" si="14"/>
        <v>0</v>
      </c>
      <c r="AF117" s="148">
        <f t="shared" si="15"/>
        <v>0</v>
      </c>
      <c r="AG117" s="198"/>
      <c r="AH117" s="1379"/>
      <c r="AI117" s="1380"/>
      <c r="AJ117"/>
      <c r="AK117"/>
      <c r="AL117"/>
      <c r="AM117"/>
      <c r="AN117"/>
    </row>
    <row r="118" spans="1:40" s="66" customFormat="1" ht="14.5">
      <c r="A118" s="186"/>
      <c r="B118" s="187"/>
      <c r="C118" s="188"/>
      <c r="D118" s="188"/>
      <c r="E118" s="189"/>
      <c r="F118" s="190"/>
      <c r="G118" s="190"/>
      <c r="H118" s="189"/>
      <c r="I118" s="189"/>
      <c r="J118" s="191"/>
      <c r="K118" s="191"/>
      <c r="L118" s="61">
        <f t="shared" si="8"/>
        <v>0</v>
      </c>
      <c r="M118" s="192"/>
      <c r="N118" s="193"/>
      <c r="O118" s="192"/>
      <c r="P118" s="194"/>
      <c r="Q118" s="195"/>
      <c r="R118" s="196"/>
      <c r="S118" s="197"/>
      <c r="T118" s="62">
        <f t="shared" si="9"/>
        <v>0</v>
      </c>
      <c r="U118" s="63">
        <f t="shared" si="10"/>
        <v>0</v>
      </c>
      <c r="V118" s="145">
        <f t="shared" si="11"/>
        <v>0</v>
      </c>
      <c r="W118" s="198"/>
      <c r="X118" s="1379"/>
      <c r="Y118" s="1380"/>
      <c r="Z118" s="62">
        <f t="shared" si="12"/>
        <v>0</v>
      </c>
      <c r="AA118" s="146">
        <f t="shared" si="13"/>
        <v>0</v>
      </c>
      <c r="AB118" s="198"/>
      <c r="AC118" s="1379"/>
      <c r="AD118" s="1380"/>
      <c r="AE118" s="62">
        <f t="shared" si="14"/>
        <v>0</v>
      </c>
      <c r="AF118" s="148">
        <f t="shared" si="15"/>
        <v>0</v>
      </c>
      <c r="AG118" s="198"/>
      <c r="AH118" s="1379"/>
      <c r="AI118" s="1380"/>
      <c r="AJ118"/>
      <c r="AK118"/>
      <c r="AL118"/>
      <c r="AM118"/>
      <c r="AN118"/>
    </row>
    <row r="119" spans="1:40" s="66" customFormat="1" ht="14.5">
      <c r="A119" s="186"/>
      <c r="B119" s="187"/>
      <c r="C119" s="188"/>
      <c r="D119" s="188"/>
      <c r="E119" s="189"/>
      <c r="F119" s="190"/>
      <c r="G119" s="190"/>
      <c r="H119" s="189"/>
      <c r="I119" s="189"/>
      <c r="J119" s="191"/>
      <c r="K119" s="191"/>
      <c r="L119" s="61">
        <f t="shared" si="8"/>
        <v>0</v>
      </c>
      <c r="M119" s="192"/>
      <c r="N119" s="193"/>
      <c r="O119" s="192"/>
      <c r="P119" s="194"/>
      <c r="Q119" s="195"/>
      <c r="R119" s="196"/>
      <c r="S119" s="197"/>
      <c r="T119" s="62">
        <f t="shared" si="9"/>
        <v>0</v>
      </c>
      <c r="U119" s="63">
        <f t="shared" si="10"/>
        <v>0</v>
      </c>
      <c r="V119" s="145">
        <f t="shared" si="11"/>
        <v>0</v>
      </c>
      <c r="W119" s="198"/>
      <c r="X119" s="1379"/>
      <c r="Y119" s="1380"/>
      <c r="Z119" s="62">
        <f t="shared" si="12"/>
        <v>0</v>
      </c>
      <c r="AA119" s="146">
        <f t="shared" si="13"/>
        <v>0</v>
      </c>
      <c r="AB119" s="198"/>
      <c r="AC119" s="1379"/>
      <c r="AD119" s="1380"/>
      <c r="AE119" s="62">
        <f t="shared" si="14"/>
        <v>0</v>
      </c>
      <c r="AF119" s="148">
        <f t="shared" si="15"/>
        <v>0</v>
      </c>
      <c r="AG119" s="198"/>
      <c r="AH119" s="1379"/>
      <c r="AI119" s="1380"/>
      <c r="AJ119"/>
      <c r="AK119"/>
      <c r="AL119"/>
      <c r="AM119"/>
      <c r="AN119"/>
    </row>
    <row r="120" spans="1:40" s="66" customFormat="1" ht="14.5">
      <c r="A120" s="186"/>
      <c r="B120" s="187"/>
      <c r="C120" s="188"/>
      <c r="D120" s="188"/>
      <c r="E120" s="189"/>
      <c r="F120" s="190"/>
      <c r="G120" s="190"/>
      <c r="H120" s="189"/>
      <c r="I120" s="189"/>
      <c r="J120" s="191"/>
      <c r="K120" s="191"/>
      <c r="L120" s="61">
        <f t="shared" si="8"/>
        <v>0</v>
      </c>
      <c r="M120" s="192"/>
      <c r="N120" s="193"/>
      <c r="O120" s="192"/>
      <c r="P120" s="194"/>
      <c r="Q120" s="195"/>
      <c r="R120" s="196"/>
      <c r="S120" s="197"/>
      <c r="T120" s="62">
        <f t="shared" si="9"/>
        <v>0</v>
      </c>
      <c r="U120" s="63">
        <f t="shared" si="10"/>
        <v>0</v>
      </c>
      <c r="V120" s="145">
        <f t="shared" si="11"/>
        <v>0</v>
      </c>
      <c r="W120" s="198"/>
      <c r="X120" s="1379"/>
      <c r="Y120" s="1380"/>
      <c r="Z120" s="62">
        <f t="shared" si="12"/>
        <v>0</v>
      </c>
      <c r="AA120" s="146">
        <f t="shared" si="13"/>
        <v>0</v>
      </c>
      <c r="AB120" s="198"/>
      <c r="AC120" s="1379"/>
      <c r="AD120" s="1380"/>
      <c r="AE120" s="62">
        <f t="shared" si="14"/>
        <v>0</v>
      </c>
      <c r="AF120" s="148">
        <f t="shared" si="15"/>
        <v>0</v>
      </c>
      <c r="AG120" s="198"/>
      <c r="AH120" s="1379"/>
      <c r="AI120" s="1380"/>
      <c r="AJ120"/>
      <c r="AK120"/>
      <c r="AL120"/>
      <c r="AM120"/>
      <c r="AN120"/>
    </row>
    <row r="121" spans="1:40" s="66" customFormat="1" ht="14.5">
      <c r="A121" s="186"/>
      <c r="B121" s="187"/>
      <c r="C121" s="188"/>
      <c r="D121" s="188"/>
      <c r="E121" s="189"/>
      <c r="F121" s="190"/>
      <c r="G121" s="190"/>
      <c r="H121" s="189"/>
      <c r="I121" s="189"/>
      <c r="J121" s="191"/>
      <c r="K121" s="191"/>
      <c r="L121" s="61">
        <f t="shared" si="8"/>
        <v>0</v>
      </c>
      <c r="M121" s="192"/>
      <c r="N121" s="193"/>
      <c r="O121" s="192"/>
      <c r="P121" s="194"/>
      <c r="Q121" s="195"/>
      <c r="R121" s="196"/>
      <c r="S121" s="197"/>
      <c r="T121" s="62">
        <f t="shared" si="9"/>
        <v>0</v>
      </c>
      <c r="U121" s="63">
        <f t="shared" si="10"/>
        <v>0</v>
      </c>
      <c r="V121" s="145">
        <f t="shared" si="11"/>
        <v>0</v>
      </c>
      <c r="W121" s="198"/>
      <c r="X121" s="1379"/>
      <c r="Y121" s="1380"/>
      <c r="Z121" s="62">
        <f t="shared" si="12"/>
        <v>0</v>
      </c>
      <c r="AA121" s="146">
        <f t="shared" si="13"/>
        <v>0</v>
      </c>
      <c r="AB121" s="198"/>
      <c r="AC121" s="1379"/>
      <c r="AD121" s="1380"/>
      <c r="AE121" s="62">
        <f t="shared" si="14"/>
        <v>0</v>
      </c>
      <c r="AF121" s="148">
        <f t="shared" si="15"/>
        <v>0</v>
      </c>
      <c r="AG121" s="198"/>
      <c r="AH121" s="1379"/>
      <c r="AI121" s="1380"/>
      <c r="AJ121"/>
      <c r="AK121"/>
      <c r="AL121"/>
      <c r="AM121"/>
      <c r="AN121"/>
    </row>
    <row r="122" spans="1:40" s="66" customFormat="1" ht="14.5">
      <c r="A122" s="186"/>
      <c r="B122" s="187"/>
      <c r="C122" s="188"/>
      <c r="D122" s="188"/>
      <c r="E122" s="189"/>
      <c r="F122" s="190"/>
      <c r="G122" s="190"/>
      <c r="H122" s="189"/>
      <c r="I122" s="189"/>
      <c r="J122" s="191"/>
      <c r="K122" s="191"/>
      <c r="L122" s="61">
        <f t="shared" si="8"/>
        <v>0</v>
      </c>
      <c r="M122" s="192"/>
      <c r="N122" s="193"/>
      <c r="O122" s="192"/>
      <c r="P122" s="194"/>
      <c r="Q122" s="195"/>
      <c r="R122" s="196"/>
      <c r="S122" s="197"/>
      <c r="T122" s="62">
        <f t="shared" si="9"/>
        <v>0</v>
      </c>
      <c r="U122" s="63">
        <f t="shared" si="10"/>
        <v>0</v>
      </c>
      <c r="V122" s="145">
        <f t="shared" si="11"/>
        <v>0</v>
      </c>
      <c r="W122" s="198"/>
      <c r="X122" s="1379"/>
      <c r="Y122" s="1380"/>
      <c r="Z122" s="62">
        <f t="shared" si="12"/>
        <v>0</v>
      </c>
      <c r="AA122" s="146">
        <f t="shared" si="13"/>
        <v>0</v>
      </c>
      <c r="AB122" s="198"/>
      <c r="AC122" s="1379"/>
      <c r="AD122" s="1380"/>
      <c r="AE122" s="62">
        <f t="shared" si="14"/>
        <v>0</v>
      </c>
      <c r="AF122" s="148">
        <f t="shared" si="15"/>
        <v>0</v>
      </c>
      <c r="AG122" s="198"/>
      <c r="AH122" s="1379"/>
      <c r="AI122" s="1380"/>
      <c r="AJ122"/>
      <c r="AK122"/>
      <c r="AL122"/>
      <c r="AM122"/>
      <c r="AN122"/>
    </row>
    <row r="123" spans="1:40" s="66" customFormat="1" ht="14.5">
      <c r="A123" s="186"/>
      <c r="B123" s="187"/>
      <c r="C123" s="188"/>
      <c r="D123" s="188"/>
      <c r="E123" s="189"/>
      <c r="F123" s="190"/>
      <c r="G123" s="190"/>
      <c r="H123" s="189"/>
      <c r="I123" s="189"/>
      <c r="J123" s="191"/>
      <c r="K123" s="191"/>
      <c r="L123" s="61">
        <f t="shared" si="8"/>
        <v>0</v>
      </c>
      <c r="M123" s="192"/>
      <c r="N123" s="193"/>
      <c r="O123" s="192"/>
      <c r="P123" s="194"/>
      <c r="Q123" s="195"/>
      <c r="R123" s="196"/>
      <c r="S123" s="197"/>
      <c r="T123" s="62">
        <f t="shared" si="9"/>
        <v>0</v>
      </c>
      <c r="U123" s="63">
        <f t="shared" si="10"/>
        <v>0</v>
      </c>
      <c r="V123" s="145">
        <f t="shared" si="11"/>
        <v>0</v>
      </c>
      <c r="W123" s="198"/>
      <c r="X123" s="1379"/>
      <c r="Y123" s="1380"/>
      <c r="Z123" s="62">
        <f t="shared" si="12"/>
        <v>0</v>
      </c>
      <c r="AA123" s="146">
        <f t="shared" si="13"/>
        <v>0</v>
      </c>
      <c r="AB123" s="198"/>
      <c r="AC123" s="1379"/>
      <c r="AD123" s="1380"/>
      <c r="AE123" s="62">
        <f t="shared" si="14"/>
        <v>0</v>
      </c>
      <c r="AF123" s="148">
        <f t="shared" si="15"/>
        <v>0</v>
      </c>
      <c r="AG123" s="198"/>
      <c r="AH123" s="1379"/>
      <c r="AI123" s="1380"/>
      <c r="AJ123"/>
      <c r="AK123"/>
      <c r="AL123"/>
      <c r="AM123"/>
      <c r="AN123"/>
    </row>
    <row r="124" spans="1:40" s="66" customFormat="1" ht="14.5">
      <c r="A124" s="186"/>
      <c r="B124" s="187"/>
      <c r="C124" s="188"/>
      <c r="D124" s="188"/>
      <c r="E124" s="189"/>
      <c r="F124" s="190"/>
      <c r="G124" s="190"/>
      <c r="H124" s="189"/>
      <c r="I124" s="189"/>
      <c r="J124" s="191"/>
      <c r="K124" s="191"/>
      <c r="L124" s="61">
        <f t="shared" si="8"/>
        <v>0</v>
      </c>
      <c r="M124" s="192"/>
      <c r="N124" s="193"/>
      <c r="O124" s="192"/>
      <c r="P124" s="194"/>
      <c r="Q124" s="195"/>
      <c r="R124" s="196"/>
      <c r="S124" s="197"/>
      <c r="T124" s="62">
        <f t="shared" si="9"/>
        <v>0</v>
      </c>
      <c r="U124" s="63">
        <f t="shared" si="10"/>
        <v>0</v>
      </c>
      <c r="V124" s="145">
        <f t="shared" si="11"/>
        <v>0</v>
      </c>
      <c r="W124" s="198"/>
      <c r="X124" s="1379"/>
      <c r="Y124" s="1380"/>
      <c r="Z124" s="62">
        <f t="shared" si="12"/>
        <v>0</v>
      </c>
      <c r="AA124" s="146">
        <f t="shared" si="13"/>
        <v>0</v>
      </c>
      <c r="AB124" s="198"/>
      <c r="AC124" s="1379"/>
      <c r="AD124" s="1380"/>
      <c r="AE124" s="62">
        <f t="shared" si="14"/>
        <v>0</v>
      </c>
      <c r="AF124" s="148">
        <f t="shared" si="15"/>
        <v>0</v>
      </c>
      <c r="AG124" s="198"/>
      <c r="AH124" s="1379"/>
      <c r="AI124" s="1380"/>
      <c r="AJ124"/>
      <c r="AK124"/>
      <c r="AL124"/>
      <c r="AM124"/>
      <c r="AN124"/>
    </row>
    <row r="125" spans="1:40" s="66" customFormat="1" ht="14.5">
      <c r="A125" s="186"/>
      <c r="B125" s="187"/>
      <c r="C125" s="188"/>
      <c r="D125" s="188"/>
      <c r="E125" s="189"/>
      <c r="F125" s="190"/>
      <c r="G125" s="190"/>
      <c r="H125" s="189"/>
      <c r="I125" s="189"/>
      <c r="J125" s="191"/>
      <c r="K125" s="191"/>
      <c r="L125" s="61">
        <f t="shared" si="8"/>
        <v>0</v>
      </c>
      <c r="M125" s="192"/>
      <c r="N125" s="193"/>
      <c r="O125" s="192"/>
      <c r="P125" s="194"/>
      <c r="Q125" s="195"/>
      <c r="R125" s="196"/>
      <c r="S125" s="197"/>
      <c r="T125" s="62">
        <f t="shared" si="9"/>
        <v>0</v>
      </c>
      <c r="U125" s="63">
        <f t="shared" si="10"/>
        <v>0</v>
      </c>
      <c r="V125" s="145">
        <f t="shared" si="11"/>
        <v>0</v>
      </c>
      <c r="W125" s="198"/>
      <c r="X125" s="1379"/>
      <c r="Y125" s="1380"/>
      <c r="Z125" s="62">
        <f t="shared" si="12"/>
        <v>0</v>
      </c>
      <c r="AA125" s="146">
        <f t="shared" si="13"/>
        <v>0</v>
      </c>
      <c r="AB125" s="198"/>
      <c r="AC125" s="1379"/>
      <c r="AD125" s="1380"/>
      <c r="AE125" s="62">
        <f t="shared" si="14"/>
        <v>0</v>
      </c>
      <c r="AF125" s="148">
        <f t="shared" si="15"/>
        <v>0</v>
      </c>
      <c r="AG125" s="198"/>
      <c r="AH125" s="1379"/>
      <c r="AI125" s="1380"/>
      <c r="AJ125"/>
      <c r="AK125"/>
      <c r="AL125"/>
      <c r="AM125"/>
      <c r="AN125"/>
    </row>
    <row r="126" spans="1:40" s="66" customFormat="1" ht="14.5">
      <c r="A126" s="186"/>
      <c r="B126" s="187"/>
      <c r="C126" s="188"/>
      <c r="D126" s="188"/>
      <c r="E126" s="189"/>
      <c r="F126" s="190"/>
      <c r="G126" s="190"/>
      <c r="H126" s="189"/>
      <c r="I126" s="189"/>
      <c r="J126" s="191"/>
      <c r="K126" s="191"/>
      <c r="L126" s="61">
        <f t="shared" si="8"/>
        <v>0</v>
      </c>
      <c r="M126" s="192"/>
      <c r="N126" s="193"/>
      <c r="O126" s="192"/>
      <c r="P126" s="194"/>
      <c r="Q126" s="195"/>
      <c r="R126" s="196"/>
      <c r="S126" s="197"/>
      <c r="T126" s="62">
        <f t="shared" si="9"/>
        <v>0</v>
      </c>
      <c r="U126" s="63">
        <f t="shared" si="10"/>
        <v>0</v>
      </c>
      <c r="V126" s="145">
        <f t="shared" si="11"/>
        <v>0</v>
      </c>
      <c r="W126" s="198"/>
      <c r="X126" s="1379"/>
      <c r="Y126" s="1380"/>
      <c r="Z126" s="62">
        <f t="shared" si="12"/>
        <v>0</v>
      </c>
      <c r="AA126" s="146">
        <f t="shared" si="13"/>
        <v>0</v>
      </c>
      <c r="AB126" s="198"/>
      <c r="AC126" s="1379"/>
      <c r="AD126" s="1380"/>
      <c r="AE126" s="62">
        <f t="shared" si="14"/>
        <v>0</v>
      </c>
      <c r="AF126" s="148">
        <f t="shared" si="15"/>
        <v>0</v>
      </c>
      <c r="AG126" s="198"/>
      <c r="AH126" s="1379"/>
      <c r="AI126" s="1380"/>
      <c r="AJ126"/>
      <c r="AK126"/>
      <c r="AL126"/>
      <c r="AM126"/>
      <c r="AN126"/>
    </row>
    <row r="127" spans="1:40" s="66" customFormat="1" ht="14.5">
      <c r="A127" s="186"/>
      <c r="B127" s="187"/>
      <c r="C127" s="188"/>
      <c r="D127" s="188"/>
      <c r="E127" s="189"/>
      <c r="F127" s="190"/>
      <c r="G127" s="190"/>
      <c r="H127" s="189"/>
      <c r="I127" s="189"/>
      <c r="J127" s="191"/>
      <c r="K127" s="191"/>
      <c r="L127" s="61">
        <f t="shared" si="8"/>
        <v>0</v>
      </c>
      <c r="M127" s="192"/>
      <c r="N127" s="193"/>
      <c r="O127" s="192"/>
      <c r="P127" s="194"/>
      <c r="Q127" s="195"/>
      <c r="R127" s="196"/>
      <c r="S127" s="197"/>
      <c r="T127" s="62">
        <f t="shared" si="9"/>
        <v>0</v>
      </c>
      <c r="U127" s="63">
        <f t="shared" si="10"/>
        <v>0</v>
      </c>
      <c r="V127" s="145">
        <f t="shared" si="11"/>
        <v>0</v>
      </c>
      <c r="W127" s="198"/>
      <c r="X127" s="1379"/>
      <c r="Y127" s="1380"/>
      <c r="Z127" s="62">
        <f t="shared" si="12"/>
        <v>0</v>
      </c>
      <c r="AA127" s="146">
        <f t="shared" si="13"/>
        <v>0</v>
      </c>
      <c r="AB127" s="198"/>
      <c r="AC127" s="1379"/>
      <c r="AD127" s="1380"/>
      <c r="AE127" s="62">
        <f t="shared" si="14"/>
        <v>0</v>
      </c>
      <c r="AF127" s="148">
        <f t="shared" si="15"/>
        <v>0</v>
      </c>
      <c r="AG127" s="198"/>
      <c r="AH127" s="1379"/>
      <c r="AI127" s="1380"/>
      <c r="AJ127"/>
      <c r="AK127"/>
      <c r="AL127"/>
      <c r="AM127"/>
      <c r="AN127"/>
    </row>
    <row r="128" spans="1:40" s="66" customFormat="1" ht="14.5">
      <c r="A128" s="186"/>
      <c r="B128" s="187"/>
      <c r="C128" s="188"/>
      <c r="D128" s="188"/>
      <c r="E128" s="189"/>
      <c r="F128" s="190"/>
      <c r="G128" s="190"/>
      <c r="H128" s="189"/>
      <c r="I128" s="189"/>
      <c r="J128" s="191"/>
      <c r="K128" s="191"/>
      <c r="L128" s="61">
        <f t="shared" si="8"/>
        <v>0</v>
      </c>
      <c r="M128" s="192"/>
      <c r="N128" s="193"/>
      <c r="O128" s="192"/>
      <c r="P128" s="194"/>
      <c r="Q128" s="195"/>
      <c r="R128" s="196"/>
      <c r="S128" s="197"/>
      <c r="T128" s="62">
        <f t="shared" si="9"/>
        <v>0</v>
      </c>
      <c r="U128" s="63">
        <f t="shared" si="10"/>
        <v>0</v>
      </c>
      <c r="V128" s="145">
        <f t="shared" si="11"/>
        <v>0</v>
      </c>
      <c r="W128" s="198"/>
      <c r="X128" s="1379"/>
      <c r="Y128" s="1380"/>
      <c r="Z128" s="62">
        <f t="shared" si="12"/>
        <v>0</v>
      </c>
      <c r="AA128" s="146">
        <f t="shared" si="13"/>
        <v>0</v>
      </c>
      <c r="AB128" s="198"/>
      <c r="AC128" s="1379"/>
      <c r="AD128" s="1380"/>
      <c r="AE128" s="62">
        <f t="shared" si="14"/>
        <v>0</v>
      </c>
      <c r="AF128" s="148">
        <f t="shared" si="15"/>
        <v>0</v>
      </c>
      <c r="AG128" s="198"/>
      <c r="AH128" s="1379"/>
      <c r="AI128" s="1380"/>
      <c r="AJ128"/>
      <c r="AK128"/>
      <c r="AL128"/>
      <c r="AM128"/>
      <c r="AN128"/>
    </row>
    <row r="129" spans="1:40" s="66" customFormat="1" ht="14.5">
      <c r="A129" s="186"/>
      <c r="B129" s="187"/>
      <c r="C129" s="188"/>
      <c r="D129" s="188"/>
      <c r="E129" s="189"/>
      <c r="F129" s="190"/>
      <c r="G129" s="190"/>
      <c r="H129" s="189"/>
      <c r="I129" s="189"/>
      <c r="J129" s="191"/>
      <c r="K129" s="191"/>
      <c r="L129" s="61">
        <f t="shared" si="8"/>
        <v>0</v>
      </c>
      <c r="M129" s="192"/>
      <c r="N129" s="193"/>
      <c r="O129" s="192"/>
      <c r="P129" s="194"/>
      <c r="Q129" s="195"/>
      <c r="R129" s="196"/>
      <c r="S129" s="197"/>
      <c r="T129" s="62">
        <f t="shared" si="9"/>
        <v>0</v>
      </c>
      <c r="U129" s="63">
        <f t="shared" si="10"/>
        <v>0</v>
      </c>
      <c r="V129" s="145">
        <f t="shared" si="11"/>
        <v>0</v>
      </c>
      <c r="W129" s="198"/>
      <c r="X129" s="1379"/>
      <c r="Y129" s="1380"/>
      <c r="Z129" s="62">
        <f t="shared" si="12"/>
        <v>0</v>
      </c>
      <c r="AA129" s="146">
        <f t="shared" si="13"/>
        <v>0</v>
      </c>
      <c r="AB129" s="198"/>
      <c r="AC129" s="1379"/>
      <c r="AD129" s="1380"/>
      <c r="AE129" s="62">
        <f t="shared" si="14"/>
        <v>0</v>
      </c>
      <c r="AF129" s="148">
        <f t="shared" si="15"/>
        <v>0</v>
      </c>
      <c r="AG129" s="198"/>
      <c r="AH129" s="1379"/>
      <c r="AI129" s="1380"/>
      <c r="AJ129"/>
      <c r="AK129"/>
      <c r="AL129"/>
      <c r="AM129"/>
      <c r="AN129"/>
    </row>
    <row r="130" spans="1:40" s="66" customFormat="1" ht="14.5">
      <c r="A130" s="186"/>
      <c r="B130" s="187"/>
      <c r="C130" s="188"/>
      <c r="D130" s="188"/>
      <c r="E130" s="189"/>
      <c r="F130" s="190"/>
      <c r="G130" s="190"/>
      <c r="H130" s="189"/>
      <c r="I130" s="189"/>
      <c r="J130" s="191"/>
      <c r="K130" s="191"/>
      <c r="L130" s="61">
        <f t="shared" si="8"/>
        <v>0</v>
      </c>
      <c r="M130" s="192"/>
      <c r="N130" s="193"/>
      <c r="O130" s="192"/>
      <c r="P130" s="194"/>
      <c r="Q130" s="195"/>
      <c r="R130" s="196"/>
      <c r="S130" s="197"/>
      <c r="T130" s="62">
        <f t="shared" si="9"/>
        <v>0</v>
      </c>
      <c r="U130" s="63">
        <f t="shared" si="10"/>
        <v>0</v>
      </c>
      <c r="V130" s="145">
        <f t="shared" si="11"/>
        <v>0</v>
      </c>
      <c r="W130" s="198"/>
      <c r="X130" s="1379"/>
      <c r="Y130" s="1380"/>
      <c r="Z130" s="62">
        <f t="shared" si="12"/>
        <v>0</v>
      </c>
      <c r="AA130" s="146">
        <f t="shared" si="13"/>
        <v>0</v>
      </c>
      <c r="AB130" s="198"/>
      <c r="AC130" s="1379"/>
      <c r="AD130" s="1380"/>
      <c r="AE130" s="62">
        <f t="shared" si="14"/>
        <v>0</v>
      </c>
      <c r="AF130" s="148">
        <f t="shared" si="15"/>
        <v>0</v>
      </c>
      <c r="AG130" s="198"/>
      <c r="AH130" s="1379"/>
      <c r="AI130" s="1380"/>
      <c r="AJ130"/>
      <c r="AK130"/>
      <c r="AL130"/>
      <c r="AM130"/>
      <c r="AN130"/>
    </row>
    <row r="131" spans="1:40" s="66" customFormat="1" ht="14.5">
      <c r="A131" s="186"/>
      <c r="B131" s="187"/>
      <c r="C131" s="188"/>
      <c r="D131" s="188"/>
      <c r="E131" s="189"/>
      <c r="F131" s="190"/>
      <c r="G131" s="190"/>
      <c r="H131" s="189"/>
      <c r="I131" s="189"/>
      <c r="J131" s="191"/>
      <c r="K131" s="191"/>
      <c r="L131" s="61">
        <f t="shared" si="8"/>
        <v>0</v>
      </c>
      <c r="M131" s="192"/>
      <c r="N131" s="193"/>
      <c r="O131" s="192"/>
      <c r="P131" s="194"/>
      <c r="Q131" s="195"/>
      <c r="R131" s="196"/>
      <c r="S131" s="197"/>
      <c r="T131" s="62">
        <f t="shared" si="9"/>
        <v>0</v>
      </c>
      <c r="U131" s="63">
        <f t="shared" si="10"/>
        <v>0</v>
      </c>
      <c r="V131" s="145">
        <f t="shared" si="11"/>
        <v>0</v>
      </c>
      <c r="W131" s="198"/>
      <c r="X131" s="1379"/>
      <c r="Y131" s="1380"/>
      <c r="Z131" s="62">
        <f t="shared" si="12"/>
        <v>0</v>
      </c>
      <c r="AA131" s="146">
        <f t="shared" si="13"/>
        <v>0</v>
      </c>
      <c r="AB131" s="198"/>
      <c r="AC131" s="1379"/>
      <c r="AD131" s="1380"/>
      <c r="AE131" s="62">
        <f t="shared" si="14"/>
        <v>0</v>
      </c>
      <c r="AF131" s="148">
        <f t="shared" si="15"/>
        <v>0</v>
      </c>
      <c r="AG131" s="198"/>
      <c r="AH131" s="1379"/>
      <c r="AI131" s="1380"/>
      <c r="AJ131"/>
      <c r="AK131"/>
      <c r="AL131"/>
      <c r="AM131"/>
      <c r="AN131"/>
    </row>
    <row r="132" spans="1:40" s="66" customFormat="1" ht="14.5">
      <c r="A132" s="186"/>
      <c r="B132" s="187"/>
      <c r="C132" s="188"/>
      <c r="D132" s="188"/>
      <c r="E132" s="189"/>
      <c r="F132" s="190"/>
      <c r="G132" s="190"/>
      <c r="H132" s="189"/>
      <c r="I132" s="189"/>
      <c r="J132" s="191"/>
      <c r="K132" s="191"/>
      <c r="L132" s="61">
        <f t="shared" si="8"/>
        <v>0</v>
      </c>
      <c r="M132" s="192"/>
      <c r="N132" s="193"/>
      <c r="O132" s="192"/>
      <c r="P132" s="194"/>
      <c r="Q132" s="195"/>
      <c r="R132" s="196"/>
      <c r="S132" s="197"/>
      <c r="T132" s="62">
        <f t="shared" si="9"/>
        <v>0</v>
      </c>
      <c r="U132" s="63">
        <f t="shared" si="10"/>
        <v>0</v>
      </c>
      <c r="V132" s="145">
        <f t="shared" si="11"/>
        <v>0</v>
      </c>
      <c r="W132" s="198"/>
      <c r="X132" s="1379"/>
      <c r="Y132" s="1380"/>
      <c r="Z132" s="62">
        <f t="shared" si="12"/>
        <v>0</v>
      </c>
      <c r="AA132" s="146">
        <f t="shared" si="13"/>
        <v>0</v>
      </c>
      <c r="AB132" s="198"/>
      <c r="AC132" s="1379"/>
      <c r="AD132" s="1380"/>
      <c r="AE132" s="62">
        <f t="shared" si="14"/>
        <v>0</v>
      </c>
      <c r="AF132" s="148">
        <f t="shared" si="15"/>
        <v>0</v>
      </c>
      <c r="AG132" s="198"/>
      <c r="AH132" s="1379"/>
      <c r="AI132" s="1380"/>
      <c r="AJ132"/>
      <c r="AK132"/>
      <c r="AL132"/>
      <c r="AM132"/>
      <c r="AN132"/>
    </row>
    <row r="133" spans="1:40" s="66" customFormat="1" ht="14.5">
      <c r="A133" s="186"/>
      <c r="B133" s="187"/>
      <c r="C133" s="188"/>
      <c r="D133" s="188"/>
      <c r="E133" s="189"/>
      <c r="F133" s="190"/>
      <c r="G133" s="190"/>
      <c r="H133" s="189"/>
      <c r="I133" s="189"/>
      <c r="J133" s="191"/>
      <c r="K133" s="191"/>
      <c r="L133" s="61">
        <f t="shared" si="8"/>
        <v>0</v>
      </c>
      <c r="M133" s="192"/>
      <c r="N133" s="193"/>
      <c r="O133" s="192"/>
      <c r="P133" s="194"/>
      <c r="Q133" s="195"/>
      <c r="R133" s="196"/>
      <c r="S133" s="197"/>
      <c r="T133" s="62">
        <f t="shared" si="9"/>
        <v>0</v>
      </c>
      <c r="U133" s="63">
        <f t="shared" si="10"/>
        <v>0</v>
      </c>
      <c r="V133" s="145">
        <f t="shared" si="11"/>
        <v>0</v>
      </c>
      <c r="W133" s="198"/>
      <c r="X133" s="1379"/>
      <c r="Y133" s="1380"/>
      <c r="Z133" s="62">
        <f t="shared" si="12"/>
        <v>0</v>
      </c>
      <c r="AA133" s="146">
        <f t="shared" si="13"/>
        <v>0</v>
      </c>
      <c r="AB133" s="198"/>
      <c r="AC133" s="1379"/>
      <c r="AD133" s="1380"/>
      <c r="AE133" s="62">
        <f t="shared" si="14"/>
        <v>0</v>
      </c>
      <c r="AF133" s="148">
        <f t="shared" si="15"/>
        <v>0</v>
      </c>
      <c r="AG133" s="198"/>
      <c r="AH133" s="1379"/>
      <c r="AI133" s="1380"/>
      <c r="AJ133"/>
      <c r="AK133"/>
      <c r="AL133"/>
      <c r="AM133"/>
      <c r="AN133"/>
    </row>
    <row r="134" spans="1:40" s="66" customFormat="1" ht="14.5">
      <c r="A134" s="186"/>
      <c r="B134" s="187"/>
      <c r="C134" s="188"/>
      <c r="D134" s="188"/>
      <c r="E134" s="189"/>
      <c r="F134" s="190"/>
      <c r="G134" s="190"/>
      <c r="H134" s="189"/>
      <c r="I134" s="189"/>
      <c r="J134" s="191"/>
      <c r="K134" s="191"/>
      <c r="L134" s="61">
        <f t="shared" si="8"/>
        <v>0</v>
      </c>
      <c r="M134" s="192"/>
      <c r="N134" s="193"/>
      <c r="O134" s="192"/>
      <c r="P134" s="194"/>
      <c r="Q134" s="195"/>
      <c r="R134" s="196"/>
      <c r="S134" s="197"/>
      <c r="T134" s="62">
        <f t="shared" si="9"/>
        <v>0</v>
      </c>
      <c r="U134" s="63">
        <f t="shared" si="10"/>
        <v>0</v>
      </c>
      <c r="V134" s="145">
        <f t="shared" si="11"/>
        <v>0</v>
      </c>
      <c r="W134" s="198"/>
      <c r="X134" s="1379"/>
      <c r="Y134" s="1380"/>
      <c r="Z134" s="62">
        <f t="shared" si="12"/>
        <v>0</v>
      </c>
      <c r="AA134" s="146">
        <f t="shared" si="13"/>
        <v>0</v>
      </c>
      <c r="AB134" s="198"/>
      <c r="AC134" s="1379"/>
      <c r="AD134" s="1380"/>
      <c r="AE134" s="62">
        <f t="shared" si="14"/>
        <v>0</v>
      </c>
      <c r="AF134" s="148">
        <f t="shared" si="15"/>
        <v>0</v>
      </c>
      <c r="AG134" s="198"/>
      <c r="AH134" s="1379"/>
      <c r="AI134" s="1380"/>
      <c r="AJ134"/>
      <c r="AK134"/>
      <c r="AL134"/>
      <c r="AM134"/>
      <c r="AN134"/>
    </row>
    <row r="135" spans="1:40" s="66" customFormat="1" ht="14.5">
      <c r="A135" s="186"/>
      <c r="B135" s="187"/>
      <c r="C135" s="188"/>
      <c r="D135" s="188"/>
      <c r="E135" s="189"/>
      <c r="F135" s="190"/>
      <c r="G135" s="190"/>
      <c r="H135" s="189"/>
      <c r="I135" s="189"/>
      <c r="J135" s="191"/>
      <c r="K135" s="191"/>
      <c r="L135" s="61">
        <f t="shared" si="8"/>
        <v>0</v>
      </c>
      <c r="M135" s="192"/>
      <c r="N135" s="193"/>
      <c r="O135" s="192"/>
      <c r="P135" s="194"/>
      <c r="Q135" s="195"/>
      <c r="R135" s="196"/>
      <c r="S135" s="197"/>
      <c r="T135" s="62">
        <f t="shared" si="9"/>
        <v>0</v>
      </c>
      <c r="U135" s="63">
        <f t="shared" si="10"/>
        <v>0</v>
      </c>
      <c r="V135" s="145">
        <f t="shared" si="11"/>
        <v>0</v>
      </c>
      <c r="W135" s="198"/>
      <c r="X135" s="1379"/>
      <c r="Y135" s="1380"/>
      <c r="Z135" s="62">
        <f t="shared" si="12"/>
        <v>0</v>
      </c>
      <c r="AA135" s="146">
        <f t="shared" si="13"/>
        <v>0</v>
      </c>
      <c r="AB135" s="198"/>
      <c r="AC135" s="1379"/>
      <c r="AD135" s="1380"/>
      <c r="AE135" s="62">
        <f t="shared" si="14"/>
        <v>0</v>
      </c>
      <c r="AF135" s="148">
        <f t="shared" si="15"/>
        <v>0</v>
      </c>
      <c r="AG135" s="198"/>
      <c r="AH135" s="1379"/>
      <c r="AI135" s="1380"/>
      <c r="AJ135"/>
      <c r="AK135"/>
      <c r="AL135"/>
      <c r="AM135"/>
      <c r="AN135"/>
    </row>
    <row r="136" spans="1:40" s="66" customFormat="1" ht="14.5">
      <c r="A136" s="186"/>
      <c r="B136" s="187"/>
      <c r="C136" s="188"/>
      <c r="D136" s="188"/>
      <c r="E136" s="189"/>
      <c r="F136" s="190"/>
      <c r="G136" s="190"/>
      <c r="H136" s="189"/>
      <c r="I136" s="189"/>
      <c r="J136" s="191"/>
      <c r="K136" s="191"/>
      <c r="L136" s="61">
        <f t="shared" si="8"/>
        <v>0</v>
      </c>
      <c r="M136" s="192"/>
      <c r="N136" s="193"/>
      <c r="O136" s="192"/>
      <c r="P136" s="194"/>
      <c r="Q136" s="195"/>
      <c r="R136" s="196"/>
      <c r="S136" s="197"/>
      <c r="T136" s="62">
        <f t="shared" si="9"/>
        <v>0</v>
      </c>
      <c r="U136" s="63">
        <f t="shared" si="10"/>
        <v>0</v>
      </c>
      <c r="V136" s="145">
        <f t="shared" si="11"/>
        <v>0</v>
      </c>
      <c r="W136" s="198"/>
      <c r="X136" s="1379"/>
      <c r="Y136" s="1380"/>
      <c r="Z136" s="62">
        <f t="shared" si="12"/>
        <v>0</v>
      </c>
      <c r="AA136" s="146">
        <f t="shared" si="13"/>
        <v>0</v>
      </c>
      <c r="AB136" s="198"/>
      <c r="AC136" s="1379"/>
      <c r="AD136" s="1380"/>
      <c r="AE136" s="62">
        <f t="shared" si="14"/>
        <v>0</v>
      </c>
      <c r="AF136" s="148">
        <f t="shared" si="15"/>
        <v>0</v>
      </c>
      <c r="AG136" s="198"/>
      <c r="AH136" s="1379"/>
      <c r="AI136" s="1380"/>
      <c r="AJ136"/>
      <c r="AK136"/>
      <c r="AL136"/>
      <c r="AM136"/>
      <c r="AN136"/>
    </row>
    <row r="137" spans="1:40" s="66" customFormat="1" ht="14.5">
      <c r="A137" s="186"/>
      <c r="B137" s="187"/>
      <c r="C137" s="188"/>
      <c r="D137" s="188"/>
      <c r="E137" s="189"/>
      <c r="F137" s="190"/>
      <c r="G137" s="190"/>
      <c r="H137" s="189"/>
      <c r="I137" s="189"/>
      <c r="J137" s="191"/>
      <c r="K137" s="191"/>
      <c r="L137" s="61">
        <f t="shared" si="8"/>
        <v>0</v>
      </c>
      <c r="M137" s="192"/>
      <c r="N137" s="193"/>
      <c r="O137" s="192"/>
      <c r="P137" s="194"/>
      <c r="Q137" s="195"/>
      <c r="R137" s="196"/>
      <c r="S137" s="197"/>
      <c r="T137" s="62">
        <f t="shared" si="9"/>
        <v>0</v>
      </c>
      <c r="U137" s="63">
        <f t="shared" si="10"/>
        <v>0</v>
      </c>
      <c r="V137" s="145">
        <f t="shared" si="11"/>
        <v>0</v>
      </c>
      <c r="W137" s="198"/>
      <c r="X137" s="1379"/>
      <c r="Y137" s="1380"/>
      <c r="Z137" s="62">
        <f t="shared" si="12"/>
        <v>0</v>
      </c>
      <c r="AA137" s="146">
        <f t="shared" si="13"/>
        <v>0</v>
      </c>
      <c r="AB137" s="198"/>
      <c r="AC137" s="1379"/>
      <c r="AD137" s="1380"/>
      <c r="AE137" s="62">
        <f t="shared" si="14"/>
        <v>0</v>
      </c>
      <c r="AF137" s="148">
        <f t="shared" si="15"/>
        <v>0</v>
      </c>
      <c r="AG137" s="198"/>
      <c r="AH137" s="1379"/>
      <c r="AI137" s="1380"/>
      <c r="AJ137"/>
      <c r="AK137"/>
      <c r="AL137"/>
      <c r="AM137"/>
      <c r="AN137"/>
    </row>
    <row r="138" spans="1:40" s="66" customFormat="1" ht="14.5">
      <c r="A138" s="186"/>
      <c r="B138" s="187"/>
      <c r="C138" s="188"/>
      <c r="D138" s="188"/>
      <c r="E138" s="189"/>
      <c r="F138" s="190"/>
      <c r="G138" s="190"/>
      <c r="H138" s="189"/>
      <c r="I138" s="189"/>
      <c r="J138" s="191"/>
      <c r="K138" s="191"/>
      <c r="L138" s="61">
        <f t="shared" si="8"/>
        <v>0</v>
      </c>
      <c r="M138" s="192"/>
      <c r="N138" s="193"/>
      <c r="O138" s="192"/>
      <c r="P138" s="194"/>
      <c r="Q138" s="195"/>
      <c r="R138" s="196"/>
      <c r="S138" s="197"/>
      <c r="T138" s="62">
        <f t="shared" si="9"/>
        <v>0</v>
      </c>
      <c r="U138" s="63">
        <f t="shared" si="10"/>
        <v>0</v>
      </c>
      <c r="V138" s="145">
        <f t="shared" si="11"/>
        <v>0</v>
      </c>
      <c r="W138" s="198"/>
      <c r="X138" s="1379"/>
      <c r="Y138" s="1380"/>
      <c r="Z138" s="62">
        <f t="shared" si="12"/>
        <v>0</v>
      </c>
      <c r="AA138" s="146">
        <f t="shared" si="13"/>
        <v>0</v>
      </c>
      <c r="AB138" s="198"/>
      <c r="AC138" s="1379"/>
      <c r="AD138" s="1380"/>
      <c r="AE138" s="62">
        <f t="shared" si="14"/>
        <v>0</v>
      </c>
      <c r="AF138" s="148">
        <f t="shared" si="15"/>
        <v>0</v>
      </c>
      <c r="AG138" s="198"/>
      <c r="AH138" s="1379"/>
      <c r="AI138" s="1380"/>
      <c r="AJ138"/>
      <c r="AK138"/>
      <c r="AL138"/>
      <c r="AM138"/>
      <c r="AN138"/>
    </row>
    <row r="139" spans="1:40" s="66" customFormat="1" ht="14.5">
      <c r="A139" s="186"/>
      <c r="B139" s="187"/>
      <c r="C139" s="188"/>
      <c r="D139" s="188"/>
      <c r="E139" s="189"/>
      <c r="F139" s="190"/>
      <c r="G139" s="190"/>
      <c r="H139" s="189"/>
      <c r="I139" s="189"/>
      <c r="J139" s="191"/>
      <c r="K139" s="191"/>
      <c r="L139" s="61">
        <f t="shared" si="8"/>
        <v>0</v>
      </c>
      <c r="M139" s="192"/>
      <c r="N139" s="193"/>
      <c r="O139" s="192"/>
      <c r="P139" s="194"/>
      <c r="Q139" s="195"/>
      <c r="R139" s="196"/>
      <c r="S139" s="197"/>
      <c r="T139" s="62">
        <f t="shared" si="9"/>
        <v>0</v>
      </c>
      <c r="U139" s="63">
        <f t="shared" si="10"/>
        <v>0</v>
      </c>
      <c r="V139" s="145">
        <f t="shared" si="11"/>
        <v>0</v>
      </c>
      <c r="W139" s="198"/>
      <c r="X139" s="1379"/>
      <c r="Y139" s="1380"/>
      <c r="Z139" s="62">
        <f t="shared" si="12"/>
        <v>0</v>
      </c>
      <c r="AA139" s="146">
        <f t="shared" si="13"/>
        <v>0</v>
      </c>
      <c r="AB139" s="198"/>
      <c r="AC139" s="1379"/>
      <c r="AD139" s="1380"/>
      <c r="AE139" s="62">
        <f t="shared" si="14"/>
        <v>0</v>
      </c>
      <c r="AF139" s="148">
        <f t="shared" si="15"/>
        <v>0</v>
      </c>
      <c r="AG139" s="198"/>
      <c r="AH139" s="1379"/>
      <c r="AI139" s="1380"/>
      <c r="AJ139"/>
      <c r="AK139"/>
      <c r="AL139"/>
      <c r="AM139"/>
      <c r="AN139"/>
    </row>
    <row r="140" spans="1:40" s="66" customFormat="1" ht="14.5">
      <c r="A140" s="186"/>
      <c r="B140" s="187"/>
      <c r="C140" s="188"/>
      <c r="D140" s="188"/>
      <c r="E140" s="189"/>
      <c r="F140" s="190"/>
      <c r="G140" s="190"/>
      <c r="H140" s="189"/>
      <c r="I140" s="189"/>
      <c r="J140" s="191"/>
      <c r="K140" s="191"/>
      <c r="L140" s="61">
        <f t="shared" si="8"/>
        <v>0</v>
      </c>
      <c r="M140" s="192"/>
      <c r="N140" s="193"/>
      <c r="O140" s="192"/>
      <c r="P140" s="194"/>
      <c r="Q140" s="195"/>
      <c r="R140" s="196"/>
      <c r="S140" s="197"/>
      <c r="T140" s="62">
        <f t="shared" si="9"/>
        <v>0</v>
      </c>
      <c r="U140" s="63">
        <f t="shared" si="10"/>
        <v>0</v>
      </c>
      <c r="V140" s="145">
        <f t="shared" si="11"/>
        <v>0</v>
      </c>
      <c r="W140" s="198"/>
      <c r="X140" s="1379"/>
      <c r="Y140" s="1380"/>
      <c r="Z140" s="62">
        <f t="shared" si="12"/>
        <v>0</v>
      </c>
      <c r="AA140" s="146">
        <f t="shared" si="13"/>
        <v>0</v>
      </c>
      <c r="AB140" s="198"/>
      <c r="AC140" s="1379"/>
      <c r="AD140" s="1380"/>
      <c r="AE140" s="62">
        <f t="shared" si="14"/>
        <v>0</v>
      </c>
      <c r="AF140" s="148">
        <f t="shared" si="15"/>
        <v>0</v>
      </c>
      <c r="AG140" s="198"/>
      <c r="AH140" s="1379"/>
      <c r="AI140" s="1380"/>
      <c r="AJ140"/>
      <c r="AK140"/>
      <c r="AL140"/>
      <c r="AM140"/>
      <c r="AN140"/>
    </row>
    <row r="141" spans="1:40" s="66" customFormat="1" ht="14.5">
      <c r="A141" s="186"/>
      <c r="B141" s="187"/>
      <c r="C141" s="188"/>
      <c r="D141" s="188"/>
      <c r="E141" s="189"/>
      <c r="F141" s="190"/>
      <c r="G141" s="190"/>
      <c r="H141" s="189"/>
      <c r="I141" s="189"/>
      <c r="J141" s="191"/>
      <c r="K141" s="191"/>
      <c r="L141" s="61">
        <f t="shared" si="8"/>
        <v>0</v>
      </c>
      <c r="M141" s="192"/>
      <c r="N141" s="193"/>
      <c r="O141" s="192"/>
      <c r="P141" s="194"/>
      <c r="Q141" s="195"/>
      <c r="R141" s="196"/>
      <c r="S141" s="197"/>
      <c r="T141" s="62">
        <f t="shared" si="9"/>
        <v>0</v>
      </c>
      <c r="U141" s="63">
        <f t="shared" si="10"/>
        <v>0</v>
      </c>
      <c r="V141" s="145">
        <f t="shared" si="11"/>
        <v>0</v>
      </c>
      <c r="W141" s="198"/>
      <c r="X141" s="1379"/>
      <c r="Y141" s="1380"/>
      <c r="Z141" s="62">
        <f t="shared" si="12"/>
        <v>0</v>
      </c>
      <c r="AA141" s="146">
        <f t="shared" si="13"/>
        <v>0</v>
      </c>
      <c r="AB141" s="198"/>
      <c r="AC141" s="1379"/>
      <c r="AD141" s="1380"/>
      <c r="AE141" s="62">
        <f t="shared" si="14"/>
        <v>0</v>
      </c>
      <c r="AF141" s="148">
        <f t="shared" si="15"/>
        <v>0</v>
      </c>
      <c r="AG141" s="198"/>
      <c r="AH141" s="1379"/>
      <c r="AI141" s="1380"/>
      <c r="AJ141"/>
      <c r="AK141"/>
      <c r="AL141"/>
      <c r="AM141"/>
      <c r="AN141"/>
    </row>
    <row r="142" spans="1:40" s="66" customFormat="1" ht="14.5">
      <c r="A142" s="186"/>
      <c r="B142" s="187"/>
      <c r="C142" s="188"/>
      <c r="D142" s="188"/>
      <c r="E142" s="189"/>
      <c r="F142" s="190"/>
      <c r="G142" s="190"/>
      <c r="H142" s="189"/>
      <c r="I142" s="189"/>
      <c r="J142" s="191"/>
      <c r="K142" s="191"/>
      <c r="L142" s="61">
        <f t="shared" ref="L142:L205" si="16">IF(I142=0,0,(K142+J142)/I142)</f>
        <v>0</v>
      </c>
      <c r="M142" s="192"/>
      <c r="N142" s="193"/>
      <c r="O142" s="192"/>
      <c r="P142" s="194"/>
      <c r="Q142" s="195"/>
      <c r="R142" s="196"/>
      <c r="S142" s="197"/>
      <c r="T142" s="62">
        <f t="shared" ref="T142:T205" si="17">IF(S142=0,0,((S142*Q142)-Z142))</f>
        <v>0</v>
      </c>
      <c r="U142" s="63">
        <f t="shared" ref="U142:U205" si="18">+Q142-I142</f>
        <v>0</v>
      </c>
      <c r="V142" s="145">
        <f t="shared" ref="V142:V205" si="19">(T142-J142)</f>
        <v>0</v>
      </c>
      <c r="W142" s="198"/>
      <c r="X142" s="1379"/>
      <c r="Y142" s="1380"/>
      <c r="Z142" s="62">
        <f t="shared" ref="Z142:Z205" si="20">IF(I142=0,0,M142/H142*Q142)</f>
        <v>0</v>
      </c>
      <c r="AA142" s="146">
        <f t="shared" ref="AA142:AA205" si="21">+Z142-O142</f>
        <v>0</v>
      </c>
      <c r="AB142" s="198"/>
      <c r="AC142" s="1379"/>
      <c r="AD142" s="1380"/>
      <c r="AE142" s="62">
        <f t="shared" ref="AE142:AE205" si="22">IF(H142=0, 0, N142 / H142 * R142)</f>
        <v>0</v>
      </c>
      <c r="AF142" s="148">
        <f t="shared" ref="AF142:AF205" si="23">+AE142-P142</f>
        <v>0</v>
      </c>
      <c r="AG142" s="198"/>
      <c r="AH142" s="1379"/>
      <c r="AI142" s="1380"/>
      <c r="AJ142"/>
      <c r="AK142"/>
      <c r="AL142"/>
      <c r="AM142"/>
      <c r="AN142"/>
    </row>
    <row r="143" spans="1:40" s="66" customFormat="1" ht="14.5">
      <c r="A143" s="186"/>
      <c r="B143" s="187"/>
      <c r="C143" s="188"/>
      <c r="D143" s="188"/>
      <c r="E143" s="189"/>
      <c r="F143" s="190"/>
      <c r="G143" s="190"/>
      <c r="H143" s="189"/>
      <c r="I143" s="189"/>
      <c r="J143" s="191"/>
      <c r="K143" s="191"/>
      <c r="L143" s="61">
        <f t="shared" si="16"/>
        <v>0</v>
      </c>
      <c r="M143" s="192"/>
      <c r="N143" s="193"/>
      <c r="O143" s="192"/>
      <c r="P143" s="194"/>
      <c r="Q143" s="195"/>
      <c r="R143" s="196"/>
      <c r="S143" s="197"/>
      <c r="T143" s="62">
        <f t="shared" si="17"/>
        <v>0</v>
      </c>
      <c r="U143" s="63">
        <f t="shared" si="18"/>
        <v>0</v>
      </c>
      <c r="V143" s="145">
        <f t="shared" si="19"/>
        <v>0</v>
      </c>
      <c r="W143" s="198"/>
      <c r="X143" s="1379"/>
      <c r="Y143" s="1380"/>
      <c r="Z143" s="62">
        <f t="shared" si="20"/>
        <v>0</v>
      </c>
      <c r="AA143" s="146">
        <f t="shared" si="21"/>
        <v>0</v>
      </c>
      <c r="AB143" s="198"/>
      <c r="AC143" s="1379"/>
      <c r="AD143" s="1380"/>
      <c r="AE143" s="62">
        <f t="shared" si="22"/>
        <v>0</v>
      </c>
      <c r="AF143" s="148">
        <f t="shared" si="23"/>
        <v>0</v>
      </c>
      <c r="AG143" s="198"/>
      <c r="AH143" s="1379"/>
      <c r="AI143" s="1380"/>
      <c r="AJ143"/>
      <c r="AK143"/>
      <c r="AL143"/>
      <c r="AM143"/>
      <c r="AN143"/>
    </row>
    <row r="144" spans="1:40" s="66" customFormat="1" ht="14.5">
      <c r="A144" s="186"/>
      <c r="B144" s="187"/>
      <c r="C144" s="188"/>
      <c r="D144" s="188"/>
      <c r="E144" s="189"/>
      <c r="F144" s="190"/>
      <c r="G144" s="190"/>
      <c r="H144" s="189"/>
      <c r="I144" s="189"/>
      <c r="J144" s="191"/>
      <c r="K144" s="191"/>
      <c r="L144" s="61">
        <f t="shared" si="16"/>
        <v>0</v>
      </c>
      <c r="M144" s="192"/>
      <c r="N144" s="193"/>
      <c r="O144" s="192"/>
      <c r="P144" s="194"/>
      <c r="Q144" s="195"/>
      <c r="R144" s="196"/>
      <c r="S144" s="197"/>
      <c r="T144" s="62">
        <f t="shared" si="17"/>
        <v>0</v>
      </c>
      <c r="U144" s="63">
        <f t="shared" si="18"/>
        <v>0</v>
      </c>
      <c r="V144" s="145">
        <f t="shared" si="19"/>
        <v>0</v>
      </c>
      <c r="W144" s="198"/>
      <c r="X144" s="1379"/>
      <c r="Y144" s="1380"/>
      <c r="Z144" s="62">
        <f t="shared" si="20"/>
        <v>0</v>
      </c>
      <c r="AA144" s="146">
        <f t="shared" si="21"/>
        <v>0</v>
      </c>
      <c r="AB144" s="198"/>
      <c r="AC144" s="1379"/>
      <c r="AD144" s="1380"/>
      <c r="AE144" s="62">
        <f t="shared" si="22"/>
        <v>0</v>
      </c>
      <c r="AF144" s="148">
        <f t="shared" si="23"/>
        <v>0</v>
      </c>
      <c r="AG144" s="198"/>
      <c r="AH144" s="1379"/>
      <c r="AI144" s="1380"/>
      <c r="AJ144"/>
      <c r="AK144"/>
      <c r="AL144"/>
      <c r="AM144"/>
      <c r="AN144"/>
    </row>
    <row r="145" spans="1:40" s="66" customFormat="1" ht="14.5">
      <c r="A145" s="186"/>
      <c r="B145" s="187"/>
      <c r="C145" s="188"/>
      <c r="D145" s="188"/>
      <c r="E145" s="189"/>
      <c r="F145" s="190"/>
      <c r="G145" s="190"/>
      <c r="H145" s="189"/>
      <c r="I145" s="189"/>
      <c r="J145" s="191"/>
      <c r="K145" s="191"/>
      <c r="L145" s="61">
        <f t="shared" si="16"/>
        <v>0</v>
      </c>
      <c r="M145" s="192"/>
      <c r="N145" s="193"/>
      <c r="O145" s="192"/>
      <c r="P145" s="194"/>
      <c r="Q145" s="195"/>
      <c r="R145" s="196"/>
      <c r="S145" s="197"/>
      <c r="T145" s="62">
        <f t="shared" si="17"/>
        <v>0</v>
      </c>
      <c r="U145" s="63">
        <f t="shared" si="18"/>
        <v>0</v>
      </c>
      <c r="V145" s="145">
        <f t="shared" si="19"/>
        <v>0</v>
      </c>
      <c r="W145" s="198"/>
      <c r="X145" s="1379"/>
      <c r="Y145" s="1380"/>
      <c r="Z145" s="62">
        <f t="shared" si="20"/>
        <v>0</v>
      </c>
      <c r="AA145" s="146">
        <f t="shared" si="21"/>
        <v>0</v>
      </c>
      <c r="AB145" s="198"/>
      <c r="AC145" s="1379"/>
      <c r="AD145" s="1380"/>
      <c r="AE145" s="62">
        <f t="shared" si="22"/>
        <v>0</v>
      </c>
      <c r="AF145" s="148">
        <f t="shared" si="23"/>
        <v>0</v>
      </c>
      <c r="AG145" s="198"/>
      <c r="AH145" s="1379"/>
      <c r="AI145" s="1380"/>
      <c r="AJ145"/>
      <c r="AK145"/>
      <c r="AL145"/>
      <c r="AM145"/>
      <c r="AN145"/>
    </row>
    <row r="146" spans="1:40" s="66" customFormat="1" ht="14.5">
      <c r="A146" s="186"/>
      <c r="B146" s="187"/>
      <c r="C146" s="188"/>
      <c r="D146" s="188"/>
      <c r="E146" s="189"/>
      <c r="F146" s="190"/>
      <c r="G146" s="190"/>
      <c r="H146" s="189"/>
      <c r="I146" s="189"/>
      <c r="J146" s="191"/>
      <c r="K146" s="191"/>
      <c r="L146" s="61">
        <f t="shared" si="16"/>
        <v>0</v>
      </c>
      <c r="M146" s="192"/>
      <c r="N146" s="193"/>
      <c r="O146" s="192"/>
      <c r="P146" s="194"/>
      <c r="Q146" s="195"/>
      <c r="R146" s="196"/>
      <c r="S146" s="197"/>
      <c r="T146" s="62">
        <f t="shared" si="17"/>
        <v>0</v>
      </c>
      <c r="U146" s="63">
        <f t="shared" si="18"/>
        <v>0</v>
      </c>
      <c r="V146" s="145">
        <f t="shared" si="19"/>
        <v>0</v>
      </c>
      <c r="W146" s="198"/>
      <c r="X146" s="1379"/>
      <c r="Y146" s="1380"/>
      <c r="Z146" s="62">
        <f t="shared" si="20"/>
        <v>0</v>
      </c>
      <c r="AA146" s="146">
        <f t="shared" si="21"/>
        <v>0</v>
      </c>
      <c r="AB146" s="198"/>
      <c r="AC146" s="1379"/>
      <c r="AD146" s="1380"/>
      <c r="AE146" s="62">
        <f t="shared" si="22"/>
        <v>0</v>
      </c>
      <c r="AF146" s="148">
        <f t="shared" si="23"/>
        <v>0</v>
      </c>
      <c r="AG146" s="198"/>
      <c r="AH146" s="1379"/>
      <c r="AI146" s="1380"/>
      <c r="AJ146"/>
      <c r="AK146"/>
      <c r="AL146"/>
      <c r="AM146"/>
      <c r="AN146"/>
    </row>
    <row r="147" spans="1:40" s="66" customFormat="1" ht="14.5">
      <c r="A147" s="186"/>
      <c r="B147" s="187"/>
      <c r="C147" s="188"/>
      <c r="D147" s="188"/>
      <c r="E147" s="189"/>
      <c r="F147" s="190"/>
      <c r="G147" s="190"/>
      <c r="H147" s="189"/>
      <c r="I147" s="189"/>
      <c r="J147" s="191"/>
      <c r="K147" s="191"/>
      <c r="L147" s="61">
        <f t="shared" si="16"/>
        <v>0</v>
      </c>
      <c r="M147" s="192"/>
      <c r="N147" s="193"/>
      <c r="O147" s="192"/>
      <c r="P147" s="194"/>
      <c r="Q147" s="195"/>
      <c r="R147" s="196"/>
      <c r="S147" s="197"/>
      <c r="T147" s="62">
        <f t="shared" si="17"/>
        <v>0</v>
      </c>
      <c r="U147" s="63">
        <f t="shared" si="18"/>
        <v>0</v>
      </c>
      <c r="V147" s="145">
        <f t="shared" si="19"/>
        <v>0</v>
      </c>
      <c r="W147" s="198"/>
      <c r="X147" s="1379"/>
      <c r="Y147" s="1380"/>
      <c r="Z147" s="62">
        <f t="shared" si="20"/>
        <v>0</v>
      </c>
      <c r="AA147" s="146">
        <f t="shared" si="21"/>
        <v>0</v>
      </c>
      <c r="AB147" s="198"/>
      <c r="AC147" s="1379"/>
      <c r="AD147" s="1380"/>
      <c r="AE147" s="62">
        <f t="shared" si="22"/>
        <v>0</v>
      </c>
      <c r="AF147" s="148">
        <f t="shared" si="23"/>
        <v>0</v>
      </c>
      <c r="AG147" s="198"/>
      <c r="AH147" s="1379"/>
      <c r="AI147" s="1380"/>
      <c r="AJ147"/>
      <c r="AK147"/>
      <c r="AL147"/>
      <c r="AM147"/>
      <c r="AN147"/>
    </row>
    <row r="148" spans="1:40" s="66" customFormat="1" ht="14.5">
      <c r="A148" s="186"/>
      <c r="B148" s="187"/>
      <c r="C148" s="188"/>
      <c r="D148" s="188"/>
      <c r="E148" s="189"/>
      <c r="F148" s="190"/>
      <c r="G148" s="190"/>
      <c r="H148" s="189"/>
      <c r="I148" s="189"/>
      <c r="J148" s="191"/>
      <c r="K148" s="191"/>
      <c r="L148" s="61">
        <f t="shared" si="16"/>
        <v>0</v>
      </c>
      <c r="M148" s="192"/>
      <c r="N148" s="193"/>
      <c r="O148" s="192"/>
      <c r="P148" s="194"/>
      <c r="Q148" s="195"/>
      <c r="R148" s="196"/>
      <c r="S148" s="197"/>
      <c r="T148" s="62">
        <f t="shared" si="17"/>
        <v>0</v>
      </c>
      <c r="U148" s="63">
        <f t="shared" si="18"/>
        <v>0</v>
      </c>
      <c r="V148" s="145">
        <f t="shared" si="19"/>
        <v>0</v>
      </c>
      <c r="W148" s="198"/>
      <c r="X148" s="1379"/>
      <c r="Y148" s="1380"/>
      <c r="Z148" s="62">
        <f t="shared" si="20"/>
        <v>0</v>
      </c>
      <c r="AA148" s="146">
        <f t="shared" si="21"/>
        <v>0</v>
      </c>
      <c r="AB148" s="198"/>
      <c r="AC148" s="1379"/>
      <c r="AD148" s="1380"/>
      <c r="AE148" s="62">
        <f t="shared" si="22"/>
        <v>0</v>
      </c>
      <c r="AF148" s="148">
        <f t="shared" si="23"/>
        <v>0</v>
      </c>
      <c r="AG148" s="198"/>
      <c r="AH148" s="1379"/>
      <c r="AI148" s="1380"/>
      <c r="AJ148"/>
      <c r="AK148"/>
      <c r="AL148"/>
      <c r="AM148"/>
      <c r="AN148"/>
    </row>
    <row r="149" spans="1:40" s="66" customFormat="1" ht="14.5">
      <c r="A149" s="186"/>
      <c r="B149" s="187"/>
      <c r="C149" s="188"/>
      <c r="D149" s="188"/>
      <c r="E149" s="189"/>
      <c r="F149" s="190"/>
      <c r="G149" s="190"/>
      <c r="H149" s="189"/>
      <c r="I149" s="189"/>
      <c r="J149" s="191"/>
      <c r="K149" s="191"/>
      <c r="L149" s="61">
        <f t="shared" si="16"/>
        <v>0</v>
      </c>
      <c r="M149" s="192"/>
      <c r="N149" s="193"/>
      <c r="O149" s="192"/>
      <c r="P149" s="194"/>
      <c r="Q149" s="195"/>
      <c r="R149" s="196"/>
      <c r="S149" s="197"/>
      <c r="T149" s="62">
        <f t="shared" si="17"/>
        <v>0</v>
      </c>
      <c r="U149" s="63">
        <f t="shared" si="18"/>
        <v>0</v>
      </c>
      <c r="V149" s="145">
        <f t="shared" si="19"/>
        <v>0</v>
      </c>
      <c r="W149" s="198"/>
      <c r="X149" s="1379"/>
      <c r="Y149" s="1380"/>
      <c r="Z149" s="62">
        <f t="shared" si="20"/>
        <v>0</v>
      </c>
      <c r="AA149" s="146">
        <f t="shared" si="21"/>
        <v>0</v>
      </c>
      <c r="AB149" s="198"/>
      <c r="AC149" s="1379"/>
      <c r="AD149" s="1380"/>
      <c r="AE149" s="62">
        <f t="shared" si="22"/>
        <v>0</v>
      </c>
      <c r="AF149" s="148">
        <f t="shared" si="23"/>
        <v>0</v>
      </c>
      <c r="AG149" s="198"/>
      <c r="AH149" s="1379"/>
      <c r="AI149" s="1380"/>
      <c r="AJ149"/>
      <c r="AK149"/>
      <c r="AL149"/>
      <c r="AM149"/>
      <c r="AN149"/>
    </row>
    <row r="150" spans="1:40" s="66" customFormat="1" ht="14.5">
      <c r="A150" s="186"/>
      <c r="B150" s="187"/>
      <c r="C150" s="188"/>
      <c r="D150" s="188"/>
      <c r="E150" s="189"/>
      <c r="F150" s="190"/>
      <c r="G150" s="190"/>
      <c r="H150" s="189"/>
      <c r="I150" s="189"/>
      <c r="J150" s="191"/>
      <c r="K150" s="191"/>
      <c r="L150" s="61">
        <f t="shared" si="16"/>
        <v>0</v>
      </c>
      <c r="M150" s="192"/>
      <c r="N150" s="193"/>
      <c r="O150" s="192"/>
      <c r="P150" s="194"/>
      <c r="Q150" s="195"/>
      <c r="R150" s="196"/>
      <c r="S150" s="197"/>
      <c r="T150" s="62">
        <f t="shared" si="17"/>
        <v>0</v>
      </c>
      <c r="U150" s="63">
        <f t="shared" si="18"/>
        <v>0</v>
      </c>
      <c r="V150" s="145">
        <f t="shared" si="19"/>
        <v>0</v>
      </c>
      <c r="W150" s="198"/>
      <c r="X150" s="1379"/>
      <c r="Y150" s="1380"/>
      <c r="Z150" s="62">
        <f t="shared" si="20"/>
        <v>0</v>
      </c>
      <c r="AA150" s="146">
        <f t="shared" si="21"/>
        <v>0</v>
      </c>
      <c r="AB150" s="198"/>
      <c r="AC150" s="1379"/>
      <c r="AD150" s="1380"/>
      <c r="AE150" s="62">
        <f t="shared" si="22"/>
        <v>0</v>
      </c>
      <c r="AF150" s="148">
        <f t="shared" si="23"/>
        <v>0</v>
      </c>
      <c r="AG150" s="198"/>
      <c r="AH150" s="1379"/>
      <c r="AI150" s="1380"/>
      <c r="AJ150"/>
      <c r="AK150"/>
      <c r="AL150"/>
      <c r="AM150"/>
      <c r="AN150"/>
    </row>
    <row r="151" spans="1:40" s="66" customFormat="1" ht="14.5">
      <c r="A151" s="186"/>
      <c r="B151" s="187"/>
      <c r="C151" s="188"/>
      <c r="D151" s="188"/>
      <c r="E151" s="189"/>
      <c r="F151" s="190"/>
      <c r="G151" s="190"/>
      <c r="H151" s="189"/>
      <c r="I151" s="189"/>
      <c r="J151" s="191"/>
      <c r="K151" s="191"/>
      <c r="L151" s="61">
        <f t="shared" si="16"/>
        <v>0</v>
      </c>
      <c r="M151" s="192"/>
      <c r="N151" s="193"/>
      <c r="O151" s="192"/>
      <c r="P151" s="194"/>
      <c r="Q151" s="195"/>
      <c r="R151" s="196"/>
      <c r="S151" s="197"/>
      <c r="T151" s="62">
        <f t="shared" si="17"/>
        <v>0</v>
      </c>
      <c r="U151" s="63">
        <f t="shared" si="18"/>
        <v>0</v>
      </c>
      <c r="V151" s="145">
        <f t="shared" si="19"/>
        <v>0</v>
      </c>
      <c r="W151" s="198"/>
      <c r="X151" s="1379"/>
      <c r="Y151" s="1380"/>
      <c r="Z151" s="62">
        <f t="shared" si="20"/>
        <v>0</v>
      </c>
      <c r="AA151" s="146">
        <f t="shared" si="21"/>
        <v>0</v>
      </c>
      <c r="AB151" s="198"/>
      <c r="AC151" s="1379"/>
      <c r="AD151" s="1380"/>
      <c r="AE151" s="62">
        <f t="shared" si="22"/>
        <v>0</v>
      </c>
      <c r="AF151" s="148">
        <f t="shared" si="23"/>
        <v>0</v>
      </c>
      <c r="AG151" s="198"/>
      <c r="AH151" s="1379"/>
      <c r="AI151" s="1380"/>
      <c r="AJ151"/>
      <c r="AK151"/>
      <c r="AL151"/>
      <c r="AM151"/>
      <c r="AN151"/>
    </row>
    <row r="152" spans="1:40" s="66" customFormat="1" ht="14.5">
      <c r="A152" s="186"/>
      <c r="B152" s="187"/>
      <c r="C152" s="188"/>
      <c r="D152" s="188"/>
      <c r="E152" s="189"/>
      <c r="F152" s="190"/>
      <c r="G152" s="190"/>
      <c r="H152" s="189"/>
      <c r="I152" s="189"/>
      <c r="J152" s="191"/>
      <c r="K152" s="191"/>
      <c r="L152" s="61">
        <f t="shared" si="16"/>
        <v>0</v>
      </c>
      <c r="M152" s="192"/>
      <c r="N152" s="193"/>
      <c r="O152" s="192"/>
      <c r="P152" s="194"/>
      <c r="Q152" s="195"/>
      <c r="R152" s="196"/>
      <c r="S152" s="197"/>
      <c r="T152" s="62">
        <f t="shared" si="17"/>
        <v>0</v>
      </c>
      <c r="U152" s="63">
        <f t="shared" si="18"/>
        <v>0</v>
      </c>
      <c r="V152" s="145">
        <f t="shared" si="19"/>
        <v>0</v>
      </c>
      <c r="W152" s="198"/>
      <c r="X152" s="1379"/>
      <c r="Y152" s="1380"/>
      <c r="Z152" s="62">
        <f t="shared" si="20"/>
        <v>0</v>
      </c>
      <c r="AA152" s="146">
        <f t="shared" si="21"/>
        <v>0</v>
      </c>
      <c r="AB152" s="198"/>
      <c r="AC152" s="1379"/>
      <c r="AD152" s="1380"/>
      <c r="AE152" s="62">
        <f t="shared" si="22"/>
        <v>0</v>
      </c>
      <c r="AF152" s="148">
        <f t="shared" si="23"/>
        <v>0</v>
      </c>
      <c r="AG152" s="198"/>
      <c r="AH152" s="1379"/>
      <c r="AI152" s="1380"/>
      <c r="AJ152"/>
      <c r="AK152"/>
      <c r="AL152"/>
      <c r="AM152"/>
      <c r="AN152"/>
    </row>
    <row r="153" spans="1:40" s="66" customFormat="1" ht="14.5">
      <c r="A153" s="186"/>
      <c r="B153" s="187"/>
      <c r="C153" s="188"/>
      <c r="D153" s="188"/>
      <c r="E153" s="189"/>
      <c r="F153" s="190"/>
      <c r="G153" s="190"/>
      <c r="H153" s="189"/>
      <c r="I153" s="189"/>
      <c r="J153" s="191"/>
      <c r="K153" s="191"/>
      <c r="L153" s="61">
        <f t="shared" si="16"/>
        <v>0</v>
      </c>
      <c r="M153" s="192"/>
      <c r="N153" s="193"/>
      <c r="O153" s="192"/>
      <c r="P153" s="194"/>
      <c r="Q153" s="195"/>
      <c r="R153" s="196"/>
      <c r="S153" s="197"/>
      <c r="T153" s="62">
        <f t="shared" si="17"/>
        <v>0</v>
      </c>
      <c r="U153" s="63">
        <f t="shared" si="18"/>
        <v>0</v>
      </c>
      <c r="V153" s="145">
        <f t="shared" si="19"/>
        <v>0</v>
      </c>
      <c r="W153" s="198"/>
      <c r="X153" s="1379"/>
      <c r="Y153" s="1380"/>
      <c r="Z153" s="62">
        <f t="shared" si="20"/>
        <v>0</v>
      </c>
      <c r="AA153" s="146">
        <f t="shared" si="21"/>
        <v>0</v>
      </c>
      <c r="AB153" s="198"/>
      <c r="AC153" s="1379"/>
      <c r="AD153" s="1380"/>
      <c r="AE153" s="62">
        <f t="shared" si="22"/>
        <v>0</v>
      </c>
      <c r="AF153" s="148">
        <f t="shared" si="23"/>
        <v>0</v>
      </c>
      <c r="AG153" s="198"/>
      <c r="AH153" s="1379"/>
      <c r="AI153" s="1380"/>
      <c r="AJ153"/>
      <c r="AK153"/>
      <c r="AL153"/>
      <c r="AM153"/>
      <c r="AN153"/>
    </row>
    <row r="154" spans="1:40" s="66" customFormat="1" ht="14.5">
      <c r="A154" s="186"/>
      <c r="B154" s="187"/>
      <c r="C154" s="188"/>
      <c r="D154" s="188"/>
      <c r="E154" s="189"/>
      <c r="F154" s="190"/>
      <c r="G154" s="190"/>
      <c r="H154" s="189"/>
      <c r="I154" s="189"/>
      <c r="J154" s="191"/>
      <c r="K154" s="191"/>
      <c r="L154" s="61">
        <f t="shared" si="16"/>
        <v>0</v>
      </c>
      <c r="M154" s="192"/>
      <c r="N154" s="193"/>
      <c r="O154" s="192"/>
      <c r="P154" s="194"/>
      <c r="Q154" s="195"/>
      <c r="R154" s="196"/>
      <c r="S154" s="197"/>
      <c r="T154" s="62">
        <f t="shared" si="17"/>
        <v>0</v>
      </c>
      <c r="U154" s="63">
        <f t="shared" si="18"/>
        <v>0</v>
      </c>
      <c r="V154" s="145">
        <f t="shared" si="19"/>
        <v>0</v>
      </c>
      <c r="W154" s="198"/>
      <c r="X154" s="1379"/>
      <c r="Y154" s="1380"/>
      <c r="Z154" s="62">
        <f t="shared" si="20"/>
        <v>0</v>
      </c>
      <c r="AA154" s="146">
        <f t="shared" si="21"/>
        <v>0</v>
      </c>
      <c r="AB154" s="198"/>
      <c r="AC154" s="1379"/>
      <c r="AD154" s="1380"/>
      <c r="AE154" s="62">
        <f t="shared" si="22"/>
        <v>0</v>
      </c>
      <c r="AF154" s="148">
        <f t="shared" si="23"/>
        <v>0</v>
      </c>
      <c r="AG154" s="198"/>
      <c r="AH154" s="1379"/>
      <c r="AI154" s="1380"/>
      <c r="AJ154"/>
      <c r="AK154"/>
      <c r="AL154"/>
      <c r="AM154"/>
      <c r="AN154"/>
    </row>
    <row r="155" spans="1:40" s="66" customFormat="1" ht="14.5">
      <c r="A155" s="186"/>
      <c r="B155" s="187"/>
      <c r="C155" s="188"/>
      <c r="D155" s="188"/>
      <c r="E155" s="189"/>
      <c r="F155" s="190"/>
      <c r="G155" s="190"/>
      <c r="H155" s="189"/>
      <c r="I155" s="189"/>
      <c r="J155" s="191"/>
      <c r="K155" s="191"/>
      <c r="L155" s="61">
        <f t="shared" si="16"/>
        <v>0</v>
      </c>
      <c r="M155" s="192"/>
      <c r="N155" s="193"/>
      <c r="O155" s="192"/>
      <c r="P155" s="194"/>
      <c r="Q155" s="195"/>
      <c r="R155" s="196"/>
      <c r="S155" s="197"/>
      <c r="T155" s="62">
        <f t="shared" si="17"/>
        <v>0</v>
      </c>
      <c r="U155" s="63">
        <f t="shared" si="18"/>
        <v>0</v>
      </c>
      <c r="V155" s="145">
        <f t="shared" si="19"/>
        <v>0</v>
      </c>
      <c r="W155" s="198"/>
      <c r="X155" s="1379"/>
      <c r="Y155" s="1380"/>
      <c r="Z155" s="62">
        <f t="shared" si="20"/>
        <v>0</v>
      </c>
      <c r="AA155" s="146">
        <f t="shared" si="21"/>
        <v>0</v>
      </c>
      <c r="AB155" s="198"/>
      <c r="AC155" s="1379"/>
      <c r="AD155" s="1380"/>
      <c r="AE155" s="62">
        <f t="shared" si="22"/>
        <v>0</v>
      </c>
      <c r="AF155" s="148">
        <f t="shared" si="23"/>
        <v>0</v>
      </c>
      <c r="AG155" s="198"/>
      <c r="AH155" s="1379"/>
      <c r="AI155" s="1380"/>
      <c r="AJ155"/>
      <c r="AK155"/>
      <c r="AL155"/>
      <c r="AM155"/>
      <c r="AN155"/>
    </row>
    <row r="156" spans="1:40" s="66" customFormat="1" ht="14.5">
      <c r="A156" s="186"/>
      <c r="B156" s="187"/>
      <c r="C156" s="188"/>
      <c r="D156" s="188"/>
      <c r="E156" s="189"/>
      <c r="F156" s="190"/>
      <c r="G156" s="190"/>
      <c r="H156" s="189"/>
      <c r="I156" s="189"/>
      <c r="J156" s="191"/>
      <c r="K156" s="191"/>
      <c r="L156" s="61">
        <f t="shared" si="16"/>
        <v>0</v>
      </c>
      <c r="M156" s="192"/>
      <c r="N156" s="193"/>
      <c r="O156" s="192"/>
      <c r="P156" s="194"/>
      <c r="Q156" s="195"/>
      <c r="R156" s="196"/>
      <c r="S156" s="197"/>
      <c r="T156" s="62">
        <f t="shared" si="17"/>
        <v>0</v>
      </c>
      <c r="U156" s="63">
        <f t="shared" si="18"/>
        <v>0</v>
      </c>
      <c r="V156" s="145">
        <f t="shared" si="19"/>
        <v>0</v>
      </c>
      <c r="W156" s="198"/>
      <c r="X156" s="1379"/>
      <c r="Y156" s="1380"/>
      <c r="Z156" s="62">
        <f t="shared" si="20"/>
        <v>0</v>
      </c>
      <c r="AA156" s="146">
        <f t="shared" si="21"/>
        <v>0</v>
      </c>
      <c r="AB156" s="198"/>
      <c r="AC156" s="1379"/>
      <c r="AD156" s="1380"/>
      <c r="AE156" s="62">
        <f t="shared" si="22"/>
        <v>0</v>
      </c>
      <c r="AF156" s="148">
        <f t="shared" si="23"/>
        <v>0</v>
      </c>
      <c r="AG156" s="198"/>
      <c r="AH156" s="1379"/>
      <c r="AI156" s="1380"/>
      <c r="AJ156"/>
      <c r="AK156"/>
      <c r="AL156"/>
      <c r="AM156"/>
      <c r="AN156"/>
    </row>
    <row r="157" spans="1:40" s="66" customFormat="1" ht="14.5">
      <c r="A157" s="186"/>
      <c r="B157" s="187"/>
      <c r="C157" s="188"/>
      <c r="D157" s="188"/>
      <c r="E157" s="189"/>
      <c r="F157" s="190"/>
      <c r="G157" s="190"/>
      <c r="H157" s="189"/>
      <c r="I157" s="189"/>
      <c r="J157" s="191"/>
      <c r="K157" s="191"/>
      <c r="L157" s="61">
        <f t="shared" si="16"/>
        <v>0</v>
      </c>
      <c r="M157" s="192"/>
      <c r="N157" s="193"/>
      <c r="O157" s="192"/>
      <c r="P157" s="194"/>
      <c r="Q157" s="195"/>
      <c r="R157" s="196"/>
      <c r="S157" s="197"/>
      <c r="T157" s="62">
        <f t="shared" si="17"/>
        <v>0</v>
      </c>
      <c r="U157" s="63">
        <f t="shared" si="18"/>
        <v>0</v>
      </c>
      <c r="V157" s="145">
        <f t="shared" si="19"/>
        <v>0</v>
      </c>
      <c r="W157" s="198"/>
      <c r="X157" s="1379"/>
      <c r="Y157" s="1380"/>
      <c r="Z157" s="62">
        <f t="shared" si="20"/>
        <v>0</v>
      </c>
      <c r="AA157" s="146">
        <f t="shared" si="21"/>
        <v>0</v>
      </c>
      <c r="AB157" s="198"/>
      <c r="AC157" s="1379"/>
      <c r="AD157" s="1380"/>
      <c r="AE157" s="62">
        <f t="shared" si="22"/>
        <v>0</v>
      </c>
      <c r="AF157" s="148">
        <f t="shared" si="23"/>
        <v>0</v>
      </c>
      <c r="AG157" s="198"/>
      <c r="AH157" s="1379"/>
      <c r="AI157" s="1380"/>
      <c r="AJ157"/>
      <c r="AK157"/>
      <c r="AL157"/>
      <c r="AM157"/>
      <c r="AN157"/>
    </row>
    <row r="158" spans="1:40" s="66" customFormat="1" ht="14.5">
      <c r="A158" s="186"/>
      <c r="B158" s="187"/>
      <c r="C158" s="188"/>
      <c r="D158" s="188"/>
      <c r="E158" s="189"/>
      <c r="F158" s="190"/>
      <c r="G158" s="190"/>
      <c r="H158" s="189"/>
      <c r="I158" s="189"/>
      <c r="J158" s="191"/>
      <c r="K158" s="191"/>
      <c r="L158" s="61">
        <f t="shared" si="16"/>
        <v>0</v>
      </c>
      <c r="M158" s="192"/>
      <c r="N158" s="193"/>
      <c r="O158" s="192"/>
      <c r="P158" s="194"/>
      <c r="Q158" s="195"/>
      <c r="R158" s="196"/>
      <c r="S158" s="197"/>
      <c r="T158" s="62">
        <f t="shared" si="17"/>
        <v>0</v>
      </c>
      <c r="U158" s="63">
        <f t="shared" si="18"/>
        <v>0</v>
      </c>
      <c r="V158" s="145">
        <f t="shared" si="19"/>
        <v>0</v>
      </c>
      <c r="W158" s="198"/>
      <c r="X158" s="1379"/>
      <c r="Y158" s="1380"/>
      <c r="Z158" s="62">
        <f t="shared" si="20"/>
        <v>0</v>
      </c>
      <c r="AA158" s="146">
        <f t="shared" si="21"/>
        <v>0</v>
      </c>
      <c r="AB158" s="198"/>
      <c r="AC158" s="1379"/>
      <c r="AD158" s="1380"/>
      <c r="AE158" s="62">
        <f t="shared" si="22"/>
        <v>0</v>
      </c>
      <c r="AF158" s="148">
        <f t="shared" si="23"/>
        <v>0</v>
      </c>
      <c r="AG158" s="198"/>
      <c r="AH158" s="1379"/>
      <c r="AI158" s="1380"/>
      <c r="AJ158"/>
      <c r="AK158"/>
      <c r="AL158"/>
      <c r="AM158"/>
      <c r="AN158"/>
    </row>
    <row r="159" spans="1:40" s="66" customFormat="1" ht="14.5">
      <c r="A159" s="186"/>
      <c r="B159" s="187"/>
      <c r="C159" s="188"/>
      <c r="D159" s="188"/>
      <c r="E159" s="189"/>
      <c r="F159" s="190"/>
      <c r="G159" s="190"/>
      <c r="H159" s="189"/>
      <c r="I159" s="189"/>
      <c r="J159" s="191"/>
      <c r="K159" s="191"/>
      <c r="L159" s="61">
        <f t="shared" si="16"/>
        <v>0</v>
      </c>
      <c r="M159" s="192"/>
      <c r="N159" s="193"/>
      <c r="O159" s="192"/>
      <c r="P159" s="194"/>
      <c r="Q159" s="195"/>
      <c r="R159" s="196"/>
      <c r="S159" s="197"/>
      <c r="T159" s="62">
        <f t="shared" si="17"/>
        <v>0</v>
      </c>
      <c r="U159" s="63">
        <f t="shared" si="18"/>
        <v>0</v>
      </c>
      <c r="V159" s="145">
        <f t="shared" si="19"/>
        <v>0</v>
      </c>
      <c r="W159" s="198"/>
      <c r="X159" s="1379"/>
      <c r="Y159" s="1380"/>
      <c r="Z159" s="62">
        <f t="shared" si="20"/>
        <v>0</v>
      </c>
      <c r="AA159" s="146">
        <f t="shared" si="21"/>
        <v>0</v>
      </c>
      <c r="AB159" s="198"/>
      <c r="AC159" s="1379"/>
      <c r="AD159" s="1380"/>
      <c r="AE159" s="62">
        <f t="shared" si="22"/>
        <v>0</v>
      </c>
      <c r="AF159" s="148">
        <f t="shared" si="23"/>
        <v>0</v>
      </c>
      <c r="AG159" s="198"/>
      <c r="AH159" s="1379"/>
      <c r="AI159" s="1380"/>
      <c r="AJ159"/>
      <c r="AK159"/>
      <c r="AL159"/>
      <c r="AM159"/>
      <c r="AN159"/>
    </row>
    <row r="160" spans="1:40" s="66" customFormat="1" ht="14.5">
      <c r="A160" s="186"/>
      <c r="B160" s="187"/>
      <c r="C160" s="188"/>
      <c r="D160" s="188"/>
      <c r="E160" s="189"/>
      <c r="F160" s="190"/>
      <c r="G160" s="190"/>
      <c r="H160" s="189"/>
      <c r="I160" s="189"/>
      <c r="J160" s="191"/>
      <c r="K160" s="191"/>
      <c r="L160" s="61">
        <f t="shared" si="16"/>
        <v>0</v>
      </c>
      <c r="M160" s="192"/>
      <c r="N160" s="193"/>
      <c r="O160" s="192"/>
      <c r="P160" s="194"/>
      <c r="Q160" s="195"/>
      <c r="R160" s="196"/>
      <c r="S160" s="197"/>
      <c r="T160" s="62">
        <f t="shared" si="17"/>
        <v>0</v>
      </c>
      <c r="U160" s="63">
        <f t="shared" si="18"/>
        <v>0</v>
      </c>
      <c r="V160" s="145">
        <f t="shared" si="19"/>
        <v>0</v>
      </c>
      <c r="W160" s="198"/>
      <c r="X160" s="1379"/>
      <c r="Y160" s="1380"/>
      <c r="Z160" s="62">
        <f t="shared" si="20"/>
        <v>0</v>
      </c>
      <c r="AA160" s="146">
        <f t="shared" si="21"/>
        <v>0</v>
      </c>
      <c r="AB160" s="198"/>
      <c r="AC160" s="1379"/>
      <c r="AD160" s="1380"/>
      <c r="AE160" s="62">
        <f t="shared" si="22"/>
        <v>0</v>
      </c>
      <c r="AF160" s="148">
        <f t="shared" si="23"/>
        <v>0</v>
      </c>
      <c r="AG160" s="198"/>
      <c r="AH160" s="1379"/>
      <c r="AI160" s="1380"/>
      <c r="AJ160"/>
      <c r="AK160"/>
      <c r="AL160"/>
      <c r="AM160"/>
      <c r="AN160"/>
    </row>
    <row r="161" spans="1:40" s="66" customFormat="1" ht="14.5">
      <c r="A161" s="186"/>
      <c r="B161" s="187"/>
      <c r="C161" s="188"/>
      <c r="D161" s="188"/>
      <c r="E161" s="189"/>
      <c r="F161" s="190"/>
      <c r="G161" s="190"/>
      <c r="H161" s="189"/>
      <c r="I161" s="189"/>
      <c r="J161" s="191"/>
      <c r="K161" s="191"/>
      <c r="L161" s="61">
        <f t="shared" si="16"/>
        <v>0</v>
      </c>
      <c r="M161" s="192"/>
      <c r="N161" s="193"/>
      <c r="O161" s="192"/>
      <c r="P161" s="194"/>
      <c r="Q161" s="195"/>
      <c r="R161" s="196"/>
      <c r="S161" s="197"/>
      <c r="T161" s="62">
        <f t="shared" si="17"/>
        <v>0</v>
      </c>
      <c r="U161" s="63">
        <f t="shared" si="18"/>
        <v>0</v>
      </c>
      <c r="V161" s="145">
        <f t="shared" si="19"/>
        <v>0</v>
      </c>
      <c r="W161" s="198"/>
      <c r="X161" s="1379"/>
      <c r="Y161" s="1380"/>
      <c r="Z161" s="62">
        <f t="shared" si="20"/>
        <v>0</v>
      </c>
      <c r="AA161" s="146">
        <f t="shared" si="21"/>
        <v>0</v>
      </c>
      <c r="AB161" s="198"/>
      <c r="AC161" s="1379"/>
      <c r="AD161" s="1380"/>
      <c r="AE161" s="62">
        <f t="shared" si="22"/>
        <v>0</v>
      </c>
      <c r="AF161" s="148">
        <f t="shared" si="23"/>
        <v>0</v>
      </c>
      <c r="AG161" s="198"/>
      <c r="AH161" s="1379"/>
      <c r="AI161" s="1380"/>
      <c r="AJ161"/>
      <c r="AK161"/>
      <c r="AL161"/>
      <c r="AM161"/>
      <c r="AN161"/>
    </row>
    <row r="162" spans="1:40" s="66" customFormat="1" ht="14.5">
      <c r="A162" s="186"/>
      <c r="B162" s="187"/>
      <c r="C162" s="188"/>
      <c r="D162" s="188"/>
      <c r="E162" s="189"/>
      <c r="F162" s="190"/>
      <c r="G162" s="190"/>
      <c r="H162" s="189"/>
      <c r="I162" s="189"/>
      <c r="J162" s="191"/>
      <c r="K162" s="191"/>
      <c r="L162" s="61">
        <f t="shared" si="16"/>
        <v>0</v>
      </c>
      <c r="M162" s="192"/>
      <c r="N162" s="193"/>
      <c r="O162" s="192"/>
      <c r="P162" s="194"/>
      <c r="Q162" s="195"/>
      <c r="R162" s="196"/>
      <c r="S162" s="197"/>
      <c r="T162" s="62">
        <f t="shared" si="17"/>
        <v>0</v>
      </c>
      <c r="U162" s="63">
        <f t="shared" si="18"/>
        <v>0</v>
      </c>
      <c r="V162" s="145">
        <f t="shared" si="19"/>
        <v>0</v>
      </c>
      <c r="W162" s="198"/>
      <c r="X162" s="1379"/>
      <c r="Y162" s="1380"/>
      <c r="Z162" s="62">
        <f t="shared" si="20"/>
        <v>0</v>
      </c>
      <c r="AA162" s="146">
        <f t="shared" si="21"/>
        <v>0</v>
      </c>
      <c r="AB162" s="198"/>
      <c r="AC162" s="1379"/>
      <c r="AD162" s="1380"/>
      <c r="AE162" s="62">
        <f t="shared" si="22"/>
        <v>0</v>
      </c>
      <c r="AF162" s="148">
        <f t="shared" si="23"/>
        <v>0</v>
      </c>
      <c r="AG162" s="198"/>
      <c r="AH162" s="1379"/>
      <c r="AI162" s="1380"/>
      <c r="AJ162"/>
      <c r="AK162"/>
      <c r="AL162"/>
      <c r="AM162"/>
      <c r="AN162"/>
    </row>
    <row r="163" spans="1:40" s="66" customFormat="1" ht="14.5">
      <c r="A163" s="186"/>
      <c r="B163" s="187"/>
      <c r="C163" s="188"/>
      <c r="D163" s="188"/>
      <c r="E163" s="189"/>
      <c r="F163" s="190"/>
      <c r="G163" s="190"/>
      <c r="H163" s="189"/>
      <c r="I163" s="189"/>
      <c r="J163" s="191"/>
      <c r="K163" s="191"/>
      <c r="L163" s="61">
        <f t="shared" si="16"/>
        <v>0</v>
      </c>
      <c r="M163" s="192"/>
      <c r="N163" s="193"/>
      <c r="O163" s="192"/>
      <c r="P163" s="194"/>
      <c r="Q163" s="195"/>
      <c r="R163" s="196"/>
      <c r="S163" s="197"/>
      <c r="T163" s="62">
        <f t="shared" si="17"/>
        <v>0</v>
      </c>
      <c r="U163" s="63">
        <f t="shared" si="18"/>
        <v>0</v>
      </c>
      <c r="V163" s="145">
        <f t="shared" si="19"/>
        <v>0</v>
      </c>
      <c r="W163" s="198"/>
      <c r="X163" s="1379"/>
      <c r="Y163" s="1380"/>
      <c r="Z163" s="62">
        <f t="shared" si="20"/>
        <v>0</v>
      </c>
      <c r="AA163" s="146">
        <f t="shared" si="21"/>
        <v>0</v>
      </c>
      <c r="AB163" s="198"/>
      <c r="AC163" s="1379"/>
      <c r="AD163" s="1380"/>
      <c r="AE163" s="62">
        <f t="shared" si="22"/>
        <v>0</v>
      </c>
      <c r="AF163" s="148">
        <f t="shared" si="23"/>
        <v>0</v>
      </c>
      <c r="AG163" s="198"/>
      <c r="AH163" s="1379"/>
      <c r="AI163" s="1380"/>
      <c r="AJ163"/>
      <c r="AK163"/>
      <c r="AL163"/>
      <c r="AM163"/>
      <c r="AN163"/>
    </row>
    <row r="164" spans="1:40" s="66" customFormat="1" ht="14.5">
      <c r="A164" s="186"/>
      <c r="B164" s="187"/>
      <c r="C164" s="188"/>
      <c r="D164" s="188"/>
      <c r="E164" s="189"/>
      <c r="F164" s="190"/>
      <c r="G164" s="190"/>
      <c r="H164" s="189"/>
      <c r="I164" s="189"/>
      <c r="J164" s="191"/>
      <c r="K164" s="191"/>
      <c r="L164" s="61">
        <f t="shared" si="16"/>
        <v>0</v>
      </c>
      <c r="M164" s="192"/>
      <c r="N164" s="193"/>
      <c r="O164" s="192"/>
      <c r="P164" s="194"/>
      <c r="Q164" s="195"/>
      <c r="R164" s="196"/>
      <c r="S164" s="197"/>
      <c r="T164" s="62">
        <f t="shared" si="17"/>
        <v>0</v>
      </c>
      <c r="U164" s="63">
        <f t="shared" si="18"/>
        <v>0</v>
      </c>
      <c r="V164" s="145">
        <f t="shared" si="19"/>
        <v>0</v>
      </c>
      <c r="W164" s="198"/>
      <c r="X164" s="1379"/>
      <c r="Y164" s="1380"/>
      <c r="Z164" s="62">
        <f t="shared" si="20"/>
        <v>0</v>
      </c>
      <c r="AA164" s="146">
        <f t="shared" si="21"/>
        <v>0</v>
      </c>
      <c r="AB164" s="198"/>
      <c r="AC164" s="1379"/>
      <c r="AD164" s="1380"/>
      <c r="AE164" s="62">
        <f t="shared" si="22"/>
        <v>0</v>
      </c>
      <c r="AF164" s="148">
        <f t="shared" si="23"/>
        <v>0</v>
      </c>
      <c r="AG164" s="198"/>
      <c r="AH164" s="1379"/>
      <c r="AI164" s="1380"/>
      <c r="AJ164"/>
      <c r="AK164"/>
      <c r="AL164"/>
      <c r="AM164"/>
      <c r="AN164"/>
    </row>
    <row r="165" spans="1:40" s="66" customFormat="1" ht="14.5">
      <c r="A165" s="186"/>
      <c r="B165" s="187"/>
      <c r="C165" s="188"/>
      <c r="D165" s="188"/>
      <c r="E165" s="189"/>
      <c r="F165" s="190"/>
      <c r="G165" s="190"/>
      <c r="H165" s="189"/>
      <c r="I165" s="189"/>
      <c r="J165" s="191"/>
      <c r="K165" s="191"/>
      <c r="L165" s="61">
        <f t="shared" si="16"/>
        <v>0</v>
      </c>
      <c r="M165" s="192"/>
      <c r="N165" s="193"/>
      <c r="O165" s="192"/>
      <c r="P165" s="194"/>
      <c r="Q165" s="195"/>
      <c r="R165" s="196"/>
      <c r="S165" s="197"/>
      <c r="T165" s="62">
        <f t="shared" si="17"/>
        <v>0</v>
      </c>
      <c r="U165" s="63">
        <f t="shared" si="18"/>
        <v>0</v>
      </c>
      <c r="V165" s="145">
        <f t="shared" si="19"/>
        <v>0</v>
      </c>
      <c r="W165" s="198"/>
      <c r="X165" s="1379"/>
      <c r="Y165" s="1380"/>
      <c r="Z165" s="62">
        <f t="shared" si="20"/>
        <v>0</v>
      </c>
      <c r="AA165" s="146">
        <f t="shared" si="21"/>
        <v>0</v>
      </c>
      <c r="AB165" s="198"/>
      <c r="AC165" s="1379"/>
      <c r="AD165" s="1380"/>
      <c r="AE165" s="62">
        <f t="shared" si="22"/>
        <v>0</v>
      </c>
      <c r="AF165" s="148">
        <f t="shared" si="23"/>
        <v>0</v>
      </c>
      <c r="AG165" s="198"/>
      <c r="AH165" s="1379"/>
      <c r="AI165" s="1380"/>
      <c r="AJ165"/>
      <c r="AK165"/>
      <c r="AL165"/>
      <c r="AM165"/>
      <c r="AN165"/>
    </row>
    <row r="166" spans="1:40" s="66" customFormat="1" ht="14.5">
      <c r="A166" s="186"/>
      <c r="B166" s="187"/>
      <c r="C166" s="188"/>
      <c r="D166" s="188"/>
      <c r="E166" s="189"/>
      <c r="F166" s="190"/>
      <c r="G166" s="190"/>
      <c r="H166" s="189"/>
      <c r="I166" s="189"/>
      <c r="J166" s="191"/>
      <c r="K166" s="191"/>
      <c r="L166" s="61">
        <f t="shared" si="16"/>
        <v>0</v>
      </c>
      <c r="M166" s="192"/>
      <c r="N166" s="193"/>
      <c r="O166" s="192"/>
      <c r="P166" s="194"/>
      <c r="Q166" s="195"/>
      <c r="R166" s="196"/>
      <c r="S166" s="197"/>
      <c r="T166" s="62">
        <f t="shared" si="17"/>
        <v>0</v>
      </c>
      <c r="U166" s="63">
        <f t="shared" si="18"/>
        <v>0</v>
      </c>
      <c r="V166" s="145">
        <f t="shared" si="19"/>
        <v>0</v>
      </c>
      <c r="W166" s="198"/>
      <c r="X166" s="1379"/>
      <c r="Y166" s="1380"/>
      <c r="Z166" s="62">
        <f t="shared" si="20"/>
        <v>0</v>
      </c>
      <c r="AA166" s="146">
        <f t="shared" si="21"/>
        <v>0</v>
      </c>
      <c r="AB166" s="198"/>
      <c r="AC166" s="1379"/>
      <c r="AD166" s="1380"/>
      <c r="AE166" s="62">
        <f t="shared" si="22"/>
        <v>0</v>
      </c>
      <c r="AF166" s="148">
        <f t="shared" si="23"/>
        <v>0</v>
      </c>
      <c r="AG166" s="198"/>
      <c r="AH166" s="1379"/>
      <c r="AI166" s="1380"/>
      <c r="AJ166"/>
      <c r="AK166"/>
      <c r="AL166"/>
      <c r="AM166"/>
      <c r="AN166"/>
    </row>
    <row r="167" spans="1:40" s="66" customFormat="1" ht="14.5">
      <c r="A167" s="186"/>
      <c r="B167" s="187"/>
      <c r="C167" s="188"/>
      <c r="D167" s="188"/>
      <c r="E167" s="189"/>
      <c r="F167" s="190"/>
      <c r="G167" s="190"/>
      <c r="H167" s="189"/>
      <c r="I167" s="189"/>
      <c r="J167" s="191"/>
      <c r="K167" s="191"/>
      <c r="L167" s="61">
        <f t="shared" si="16"/>
        <v>0</v>
      </c>
      <c r="M167" s="192"/>
      <c r="N167" s="193"/>
      <c r="O167" s="192"/>
      <c r="P167" s="194"/>
      <c r="Q167" s="195"/>
      <c r="R167" s="196"/>
      <c r="S167" s="197"/>
      <c r="T167" s="62">
        <f t="shared" si="17"/>
        <v>0</v>
      </c>
      <c r="U167" s="63">
        <f t="shared" si="18"/>
        <v>0</v>
      </c>
      <c r="V167" s="145">
        <f t="shared" si="19"/>
        <v>0</v>
      </c>
      <c r="W167" s="198"/>
      <c r="X167" s="1379"/>
      <c r="Y167" s="1380"/>
      <c r="Z167" s="62">
        <f t="shared" si="20"/>
        <v>0</v>
      </c>
      <c r="AA167" s="146">
        <f t="shared" si="21"/>
        <v>0</v>
      </c>
      <c r="AB167" s="198"/>
      <c r="AC167" s="1379"/>
      <c r="AD167" s="1380"/>
      <c r="AE167" s="62">
        <f t="shared" si="22"/>
        <v>0</v>
      </c>
      <c r="AF167" s="148">
        <f t="shared" si="23"/>
        <v>0</v>
      </c>
      <c r="AG167" s="198"/>
      <c r="AH167" s="1379"/>
      <c r="AI167" s="1380"/>
      <c r="AJ167"/>
      <c r="AK167"/>
      <c r="AL167"/>
      <c r="AM167"/>
      <c r="AN167"/>
    </row>
    <row r="168" spans="1:40" s="66" customFormat="1" ht="14.5">
      <c r="A168" s="186"/>
      <c r="B168" s="187"/>
      <c r="C168" s="188"/>
      <c r="D168" s="188"/>
      <c r="E168" s="189"/>
      <c r="F168" s="190"/>
      <c r="G168" s="190"/>
      <c r="H168" s="189"/>
      <c r="I168" s="189"/>
      <c r="J168" s="191"/>
      <c r="K168" s="191"/>
      <c r="L168" s="61">
        <f t="shared" si="16"/>
        <v>0</v>
      </c>
      <c r="M168" s="192"/>
      <c r="N168" s="193"/>
      <c r="O168" s="192"/>
      <c r="P168" s="194"/>
      <c r="Q168" s="195"/>
      <c r="R168" s="196"/>
      <c r="S168" s="197"/>
      <c r="T168" s="62">
        <f t="shared" si="17"/>
        <v>0</v>
      </c>
      <c r="U168" s="63">
        <f t="shared" si="18"/>
        <v>0</v>
      </c>
      <c r="V168" s="145">
        <f t="shared" si="19"/>
        <v>0</v>
      </c>
      <c r="W168" s="198"/>
      <c r="X168" s="1379"/>
      <c r="Y168" s="1380"/>
      <c r="Z168" s="62">
        <f t="shared" si="20"/>
        <v>0</v>
      </c>
      <c r="AA168" s="146">
        <f t="shared" si="21"/>
        <v>0</v>
      </c>
      <c r="AB168" s="198"/>
      <c r="AC168" s="1379"/>
      <c r="AD168" s="1380"/>
      <c r="AE168" s="62">
        <f t="shared" si="22"/>
        <v>0</v>
      </c>
      <c r="AF168" s="148">
        <f t="shared" si="23"/>
        <v>0</v>
      </c>
      <c r="AG168" s="198"/>
      <c r="AH168" s="1379"/>
      <c r="AI168" s="1380"/>
      <c r="AJ168"/>
      <c r="AK168"/>
      <c r="AL168"/>
      <c r="AM168"/>
      <c r="AN168"/>
    </row>
    <row r="169" spans="1:40" s="66" customFormat="1" ht="14.5">
      <c r="A169" s="186"/>
      <c r="B169" s="187"/>
      <c r="C169" s="188"/>
      <c r="D169" s="188"/>
      <c r="E169" s="189"/>
      <c r="F169" s="190"/>
      <c r="G169" s="190"/>
      <c r="H169" s="189"/>
      <c r="I169" s="189"/>
      <c r="J169" s="191"/>
      <c r="K169" s="191"/>
      <c r="L169" s="61">
        <f t="shared" si="16"/>
        <v>0</v>
      </c>
      <c r="M169" s="192"/>
      <c r="N169" s="193"/>
      <c r="O169" s="192"/>
      <c r="P169" s="194"/>
      <c r="Q169" s="195"/>
      <c r="R169" s="196"/>
      <c r="S169" s="197"/>
      <c r="T169" s="62">
        <f t="shared" si="17"/>
        <v>0</v>
      </c>
      <c r="U169" s="63">
        <f t="shared" si="18"/>
        <v>0</v>
      </c>
      <c r="V169" s="145">
        <f t="shared" si="19"/>
        <v>0</v>
      </c>
      <c r="W169" s="198"/>
      <c r="X169" s="1379"/>
      <c r="Y169" s="1380"/>
      <c r="Z169" s="62">
        <f t="shared" si="20"/>
        <v>0</v>
      </c>
      <c r="AA169" s="146">
        <f t="shared" si="21"/>
        <v>0</v>
      </c>
      <c r="AB169" s="198"/>
      <c r="AC169" s="1379"/>
      <c r="AD169" s="1380"/>
      <c r="AE169" s="62">
        <f t="shared" si="22"/>
        <v>0</v>
      </c>
      <c r="AF169" s="148">
        <f t="shared" si="23"/>
        <v>0</v>
      </c>
      <c r="AG169" s="198"/>
      <c r="AH169" s="1379"/>
      <c r="AI169" s="1380"/>
      <c r="AJ169"/>
      <c r="AK169"/>
      <c r="AL169"/>
      <c r="AM169"/>
      <c r="AN169"/>
    </row>
    <row r="170" spans="1:40" s="66" customFormat="1" ht="14.5">
      <c r="A170" s="186"/>
      <c r="B170" s="187"/>
      <c r="C170" s="188"/>
      <c r="D170" s="188"/>
      <c r="E170" s="189"/>
      <c r="F170" s="190"/>
      <c r="G170" s="190"/>
      <c r="H170" s="189"/>
      <c r="I170" s="189"/>
      <c r="J170" s="191"/>
      <c r="K170" s="191"/>
      <c r="L170" s="61">
        <f t="shared" si="16"/>
        <v>0</v>
      </c>
      <c r="M170" s="192"/>
      <c r="N170" s="193"/>
      <c r="O170" s="192"/>
      <c r="P170" s="194"/>
      <c r="Q170" s="195"/>
      <c r="R170" s="196"/>
      <c r="S170" s="197"/>
      <c r="T170" s="62">
        <f t="shared" si="17"/>
        <v>0</v>
      </c>
      <c r="U170" s="63">
        <f t="shared" si="18"/>
        <v>0</v>
      </c>
      <c r="V170" s="145">
        <f t="shared" si="19"/>
        <v>0</v>
      </c>
      <c r="W170" s="198"/>
      <c r="X170" s="1379"/>
      <c r="Y170" s="1380"/>
      <c r="Z170" s="62">
        <f t="shared" si="20"/>
        <v>0</v>
      </c>
      <c r="AA170" s="146">
        <f t="shared" si="21"/>
        <v>0</v>
      </c>
      <c r="AB170" s="198"/>
      <c r="AC170" s="1379"/>
      <c r="AD170" s="1380"/>
      <c r="AE170" s="62">
        <f t="shared" si="22"/>
        <v>0</v>
      </c>
      <c r="AF170" s="148">
        <f t="shared" si="23"/>
        <v>0</v>
      </c>
      <c r="AG170" s="198"/>
      <c r="AH170" s="1379"/>
      <c r="AI170" s="1380"/>
      <c r="AJ170"/>
      <c r="AK170"/>
      <c r="AL170"/>
      <c r="AM170"/>
      <c r="AN170"/>
    </row>
    <row r="171" spans="1:40" s="66" customFormat="1" ht="14.5">
      <c r="A171" s="186"/>
      <c r="B171" s="187"/>
      <c r="C171" s="188"/>
      <c r="D171" s="188"/>
      <c r="E171" s="189"/>
      <c r="F171" s="190"/>
      <c r="G171" s="190"/>
      <c r="H171" s="189"/>
      <c r="I171" s="189"/>
      <c r="J171" s="191"/>
      <c r="K171" s="191"/>
      <c r="L171" s="61">
        <f t="shared" si="16"/>
        <v>0</v>
      </c>
      <c r="M171" s="192"/>
      <c r="N171" s="193"/>
      <c r="O171" s="192"/>
      <c r="P171" s="194"/>
      <c r="Q171" s="195"/>
      <c r="R171" s="196"/>
      <c r="S171" s="197"/>
      <c r="T171" s="62">
        <f t="shared" si="17"/>
        <v>0</v>
      </c>
      <c r="U171" s="63">
        <f t="shared" si="18"/>
        <v>0</v>
      </c>
      <c r="V171" s="145">
        <f t="shared" si="19"/>
        <v>0</v>
      </c>
      <c r="W171" s="198"/>
      <c r="X171" s="1379"/>
      <c r="Y171" s="1380"/>
      <c r="Z171" s="62">
        <f t="shared" si="20"/>
        <v>0</v>
      </c>
      <c r="AA171" s="146">
        <f t="shared" si="21"/>
        <v>0</v>
      </c>
      <c r="AB171" s="198"/>
      <c r="AC171" s="1379"/>
      <c r="AD171" s="1380"/>
      <c r="AE171" s="62">
        <f t="shared" si="22"/>
        <v>0</v>
      </c>
      <c r="AF171" s="148">
        <f t="shared" si="23"/>
        <v>0</v>
      </c>
      <c r="AG171" s="198"/>
      <c r="AH171" s="1379"/>
      <c r="AI171" s="1380"/>
      <c r="AJ171"/>
      <c r="AK171"/>
      <c r="AL171"/>
      <c r="AM171"/>
      <c r="AN171"/>
    </row>
    <row r="172" spans="1:40" s="66" customFormat="1" ht="14.5">
      <c r="A172" s="186"/>
      <c r="B172" s="187"/>
      <c r="C172" s="188"/>
      <c r="D172" s="188"/>
      <c r="E172" s="189"/>
      <c r="F172" s="190"/>
      <c r="G172" s="190"/>
      <c r="H172" s="189"/>
      <c r="I172" s="189"/>
      <c r="J172" s="191"/>
      <c r="K172" s="191"/>
      <c r="L172" s="61">
        <f t="shared" si="16"/>
        <v>0</v>
      </c>
      <c r="M172" s="192"/>
      <c r="N172" s="193"/>
      <c r="O172" s="192"/>
      <c r="P172" s="194"/>
      <c r="Q172" s="195"/>
      <c r="R172" s="196"/>
      <c r="S172" s="197"/>
      <c r="T172" s="62">
        <f t="shared" si="17"/>
        <v>0</v>
      </c>
      <c r="U172" s="63">
        <f t="shared" si="18"/>
        <v>0</v>
      </c>
      <c r="V172" s="145">
        <f t="shared" si="19"/>
        <v>0</v>
      </c>
      <c r="W172" s="198"/>
      <c r="X172" s="1379"/>
      <c r="Y172" s="1380"/>
      <c r="Z172" s="62">
        <f t="shared" si="20"/>
        <v>0</v>
      </c>
      <c r="AA172" s="146">
        <f t="shared" si="21"/>
        <v>0</v>
      </c>
      <c r="AB172" s="198"/>
      <c r="AC172" s="1379"/>
      <c r="AD172" s="1380"/>
      <c r="AE172" s="62">
        <f t="shared" si="22"/>
        <v>0</v>
      </c>
      <c r="AF172" s="148">
        <f t="shared" si="23"/>
        <v>0</v>
      </c>
      <c r="AG172" s="198"/>
      <c r="AH172" s="1379"/>
      <c r="AI172" s="1380"/>
      <c r="AJ172"/>
      <c r="AK172"/>
      <c r="AL172"/>
      <c r="AM172"/>
      <c r="AN172"/>
    </row>
    <row r="173" spans="1:40" s="66" customFormat="1" ht="14.5">
      <c r="A173" s="186"/>
      <c r="B173" s="187"/>
      <c r="C173" s="188"/>
      <c r="D173" s="188"/>
      <c r="E173" s="189"/>
      <c r="F173" s="190"/>
      <c r="G173" s="190"/>
      <c r="H173" s="189"/>
      <c r="I173" s="189"/>
      <c r="J173" s="191"/>
      <c r="K173" s="191"/>
      <c r="L173" s="61">
        <f t="shared" si="16"/>
        <v>0</v>
      </c>
      <c r="M173" s="192"/>
      <c r="N173" s="193"/>
      <c r="O173" s="192"/>
      <c r="P173" s="194"/>
      <c r="Q173" s="195"/>
      <c r="R173" s="196"/>
      <c r="S173" s="197"/>
      <c r="T173" s="62">
        <f t="shared" si="17"/>
        <v>0</v>
      </c>
      <c r="U173" s="63">
        <f t="shared" si="18"/>
        <v>0</v>
      </c>
      <c r="V173" s="145">
        <f t="shared" si="19"/>
        <v>0</v>
      </c>
      <c r="W173" s="198"/>
      <c r="X173" s="1379"/>
      <c r="Y173" s="1380"/>
      <c r="Z173" s="62">
        <f t="shared" si="20"/>
        <v>0</v>
      </c>
      <c r="AA173" s="146">
        <f t="shared" si="21"/>
        <v>0</v>
      </c>
      <c r="AB173" s="198"/>
      <c r="AC173" s="1379"/>
      <c r="AD173" s="1380"/>
      <c r="AE173" s="62">
        <f t="shared" si="22"/>
        <v>0</v>
      </c>
      <c r="AF173" s="148">
        <f t="shared" si="23"/>
        <v>0</v>
      </c>
      <c r="AG173" s="198"/>
      <c r="AH173" s="1379"/>
      <c r="AI173" s="1380"/>
      <c r="AJ173"/>
      <c r="AK173"/>
      <c r="AL173"/>
      <c r="AM173"/>
      <c r="AN173"/>
    </row>
    <row r="174" spans="1:40" s="66" customFormat="1" ht="14.5">
      <c r="A174" s="186"/>
      <c r="B174" s="187"/>
      <c r="C174" s="188"/>
      <c r="D174" s="188"/>
      <c r="E174" s="189"/>
      <c r="F174" s="190"/>
      <c r="G174" s="190"/>
      <c r="H174" s="189"/>
      <c r="I174" s="189"/>
      <c r="J174" s="191"/>
      <c r="K174" s="191"/>
      <c r="L174" s="61">
        <f t="shared" si="16"/>
        <v>0</v>
      </c>
      <c r="M174" s="192"/>
      <c r="N174" s="193"/>
      <c r="O174" s="192"/>
      <c r="P174" s="194"/>
      <c r="Q174" s="195"/>
      <c r="R174" s="196"/>
      <c r="S174" s="197"/>
      <c r="T174" s="62">
        <f t="shared" si="17"/>
        <v>0</v>
      </c>
      <c r="U174" s="63">
        <f t="shared" si="18"/>
        <v>0</v>
      </c>
      <c r="V174" s="145">
        <f t="shared" si="19"/>
        <v>0</v>
      </c>
      <c r="W174" s="198"/>
      <c r="X174" s="1379"/>
      <c r="Y174" s="1380"/>
      <c r="Z174" s="62">
        <f t="shared" si="20"/>
        <v>0</v>
      </c>
      <c r="AA174" s="146">
        <f t="shared" si="21"/>
        <v>0</v>
      </c>
      <c r="AB174" s="198"/>
      <c r="AC174" s="1379"/>
      <c r="AD174" s="1380"/>
      <c r="AE174" s="62">
        <f t="shared" si="22"/>
        <v>0</v>
      </c>
      <c r="AF174" s="148">
        <f t="shared" si="23"/>
        <v>0</v>
      </c>
      <c r="AG174" s="198"/>
      <c r="AH174" s="1379"/>
      <c r="AI174" s="1380"/>
      <c r="AJ174"/>
      <c r="AK174"/>
      <c r="AL174"/>
      <c r="AM174"/>
      <c r="AN174"/>
    </row>
    <row r="175" spans="1:40" s="66" customFormat="1" ht="14.5">
      <c r="A175" s="186"/>
      <c r="B175" s="187"/>
      <c r="C175" s="188"/>
      <c r="D175" s="188"/>
      <c r="E175" s="189"/>
      <c r="F175" s="190"/>
      <c r="G175" s="190"/>
      <c r="H175" s="189"/>
      <c r="I175" s="189"/>
      <c r="J175" s="191"/>
      <c r="K175" s="191"/>
      <c r="L175" s="61">
        <f t="shared" si="16"/>
        <v>0</v>
      </c>
      <c r="M175" s="192"/>
      <c r="N175" s="193"/>
      <c r="O175" s="192"/>
      <c r="P175" s="194"/>
      <c r="Q175" s="195"/>
      <c r="R175" s="196"/>
      <c r="S175" s="197"/>
      <c r="T175" s="62">
        <f t="shared" si="17"/>
        <v>0</v>
      </c>
      <c r="U175" s="63">
        <f t="shared" si="18"/>
        <v>0</v>
      </c>
      <c r="V175" s="145">
        <f t="shared" si="19"/>
        <v>0</v>
      </c>
      <c r="W175" s="198"/>
      <c r="X175" s="1379"/>
      <c r="Y175" s="1380"/>
      <c r="Z175" s="62">
        <f t="shared" si="20"/>
        <v>0</v>
      </c>
      <c r="AA175" s="146">
        <f t="shared" si="21"/>
        <v>0</v>
      </c>
      <c r="AB175" s="198"/>
      <c r="AC175" s="1379"/>
      <c r="AD175" s="1380"/>
      <c r="AE175" s="62">
        <f t="shared" si="22"/>
        <v>0</v>
      </c>
      <c r="AF175" s="148">
        <f t="shared" si="23"/>
        <v>0</v>
      </c>
      <c r="AG175" s="198"/>
      <c r="AH175" s="1379"/>
      <c r="AI175" s="1380"/>
      <c r="AJ175"/>
      <c r="AK175"/>
      <c r="AL175"/>
      <c r="AM175"/>
      <c r="AN175"/>
    </row>
    <row r="176" spans="1:40" s="66" customFormat="1" ht="14.5">
      <c r="A176" s="186"/>
      <c r="B176" s="187"/>
      <c r="C176" s="188"/>
      <c r="D176" s="188"/>
      <c r="E176" s="189"/>
      <c r="F176" s="190"/>
      <c r="G176" s="190"/>
      <c r="H176" s="189"/>
      <c r="I176" s="189"/>
      <c r="J176" s="191"/>
      <c r="K176" s="191"/>
      <c r="L176" s="61">
        <f t="shared" si="16"/>
        <v>0</v>
      </c>
      <c r="M176" s="192"/>
      <c r="N176" s="193"/>
      <c r="O176" s="192"/>
      <c r="P176" s="194"/>
      <c r="Q176" s="195"/>
      <c r="R176" s="196"/>
      <c r="S176" s="197"/>
      <c r="T176" s="62">
        <f t="shared" si="17"/>
        <v>0</v>
      </c>
      <c r="U176" s="63">
        <f t="shared" si="18"/>
        <v>0</v>
      </c>
      <c r="V176" s="145">
        <f t="shared" si="19"/>
        <v>0</v>
      </c>
      <c r="W176" s="198"/>
      <c r="X176" s="1379"/>
      <c r="Y176" s="1380"/>
      <c r="Z176" s="62">
        <f t="shared" si="20"/>
        <v>0</v>
      </c>
      <c r="AA176" s="146">
        <f t="shared" si="21"/>
        <v>0</v>
      </c>
      <c r="AB176" s="198"/>
      <c r="AC176" s="1379"/>
      <c r="AD176" s="1380"/>
      <c r="AE176" s="62">
        <f t="shared" si="22"/>
        <v>0</v>
      </c>
      <c r="AF176" s="148">
        <f t="shared" si="23"/>
        <v>0</v>
      </c>
      <c r="AG176" s="198"/>
      <c r="AH176" s="1379"/>
      <c r="AI176" s="1380"/>
      <c r="AJ176"/>
      <c r="AK176"/>
      <c r="AL176"/>
      <c r="AM176"/>
      <c r="AN176"/>
    </row>
    <row r="177" spans="1:40" s="66" customFormat="1" ht="14.5">
      <c r="A177" s="186"/>
      <c r="B177" s="187"/>
      <c r="C177" s="188"/>
      <c r="D177" s="188"/>
      <c r="E177" s="189"/>
      <c r="F177" s="190"/>
      <c r="G177" s="190"/>
      <c r="H177" s="189"/>
      <c r="I177" s="189"/>
      <c r="J177" s="191"/>
      <c r="K177" s="191"/>
      <c r="L177" s="61">
        <f t="shared" si="16"/>
        <v>0</v>
      </c>
      <c r="M177" s="192"/>
      <c r="N177" s="193"/>
      <c r="O177" s="192"/>
      <c r="P177" s="194"/>
      <c r="Q177" s="195"/>
      <c r="R177" s="196"/>
      <c r="S177" s="197"/>
      <c r="T177" s="62">
        <f t="shared" si="17"/>
        <v>0</v>
      </c>
      <c r="U177" s="63">
        <f t="shared" si="18"/>
        <v>0</v>
      </c>
      <c r="V177" s="145">
        <f t="shared" si="19"/>
        <v>0</v>
      </c>
      <c r="W177" s="198"/>
      <c r="X177" s="1379"/>
      <c r="Y177" s="1380"/>
      <c r="Z177" s="62">
        <f t="shared" si="20"/>
        <v>0</v>
      </c>
      <c r="AA177" s="146">
        <f t="shared" si="21"/>
        <v>0</v>
      </c>
      <c r="AB177" s="198"/>
      <c r="AC177" s="1379"/>
      <c r="AD177" s="1380"/>
      <c r="AE177" s="62">
        <f t="shared" si="22"/>
        <v>0</v>
      </c>
      <c r="AF177" s="148">
        <f t="shared" si="23"/>
        <v>0</v>
      </c>
      <c r="AG177" s="198"/>
      <c r="AH177" s="1379"/>
      <c r="AI177" s="1380"/>
      <c r="AJ177"/>
      <c r="AK177"/>
      <c r="AL177"/>
      <c r="AM177"/>
      <c r="AN177"/>
    </row>
    <row r="178" spans="1:40" s="66" customFormat="1" ht="14.5">
      <c r="A178" s="186"/>
      <c r="B178" s="187"/>
      <c r="C178" s="188"/>
      <c r="D178" s="188"/>
      <c r="E178" s="189"/>
      <c r="F178" s="190"/>
      <c r="G178" s="190"/>
      <c r="H178" s="189"/>
      <c r="I178" s="189"/>
      <c r="J178" s="191"/>
      <c r="K178" s="191"/>
      <c r="L178" s="61">
        <f t="shared" si="16"/>
        <v>0</v>
      </c>
      <c r="M178" s="192"/>
      <c r="N178" s="193"/>
      <c r="O178" s="192"/>
      <c r="P178" s="194"/>
      <c r="Q178" s="195"/>
      <c r="R178" s="196"/>
      <c r="S178" s="197"/>
      <c r="T178" s="62">
        <f t="shared" si="17"/>
        <v>0</v>
      </c>
      <c r="U178" s="63">
        <f t="shared" si="18"/>
        <v>0</v>
      </c>
      <c r="V178" s="145">
        <f t="shared" si="19"/>
        <v>0</v>
      </c>
      <c r="W178" s="198"/>
      <c r="X178" s="1379"/>
      <c r="Y178" s="1380"/>
      <c r="Z178" s="62">
        <f t="shared" si="20"/>
        <v>0</v>
      </c>
      <c r="AA178" s="146">
        <f t="shared" si="21"/>
        <v>0</v>
      </c>
      <c r="AB178" s="198"/>
      <c r="AC178" s="1379"/>
      <c r="AD178" s="1380"/>
      <c r="AE178" s="62">
        <f t="shared" si="22"/>
        <v>0</v>
      </c>
      <c r="AF178" s="148">
        <f t="shared" si="23"/>
        <v>0</v>
      </c>
      <c r="AG178" s="198"/>
      <c r="AH178" s="1379"/>
      <c r="AI178" s="1380"/>
      <c r="AJ178"/>
      <c r="AK178"/>
      <c r="AL178"/>
      <c r="AM178"/>
      <c r="AN178"/>
    </row>
    <row r="179" spans="1:40" s="66" customFormat="1" ht="14.5">
      <c r="A179" s="186"/>
      <c r="B179" s="187"/>
      <c r="C179" s="188"/>
      <c r="D179" s="188"/>
      <c r="E179" s="189"/>
      <c r="F179" s="190"/>
      <c r="G179" s="190"/>
      <c r="H179" s="189"/>
      <c r="I179" s="189"/>
      <c r="J179" s="191"/>
      <c r="K179" s="191"/>
      <c r="L179" s="61">
        <f t="shared" si="16"/>
        <v>0</v>
      </c>
      <c r="M179" s="192"/>
      <c r="N179" s="193"/>
      <c r="O179" s="192"/>
      <c r="P179" s="194"/>
      <c r="Q179" s="195"/>
      <c r="R179" s="196"/>
      <c r="S179" s="197"/>
      <c r="T179" s="62">
        <f t="shared" si="17"/>
        <v>0</v>
      </c>
      <c r="U179" s="63">
        <f t="shared" si="18"/>
        <v>0</v>
      </c>
      <c r="V179" s="145">
        <f t="shared" si="19"/>
        <v>0</v>
      </c>
      <c r="W179" s="198"/>
      <c r="X179" s="1379"/>
      <c r="Y179" s="1380"/>
      <c r="Z179" s="62">
        <f t="shared" si="20"/>
        <v>0</v>
      </c>
      <c r="AA179" s="146">
        <f t="shared" si="21"/>
        <v>0</v>
      </c>
      <c r="AB179" s="198"/>
      <c r="AC179" s="1379"/>
      <c r="AD179" s="1380"/>
      <c r="AE179" s="62">
        <f t="shared" si="22"/>
        <v>0</v>
      </c>
      <c r="AF179" s="148">
        <f t="shared" si="23"/>
        <v>0</v>
      </c>
      <c r="AG179" s="198"/>
      <c r="AH179" s="1379"/>
      <c r="AI179" s="1380"/>
      <c r="AJ179"/>
      <c r="AK179"/>
      <c r="AL179"/>
      <c r="AM179"/>
      <c r="AN179"/>
    </row>
    <row r="180" spans="1:40" s="66" customFormat="1" ht="14.5">
      <c r="A180" s="186"/>
      <c r="B180" s="187"/>
      <c r="C180" s="188"/>
      <c r="D180" s="188"/>
      <c r="E180" s="189"/>
      <c r="F180" s="190"/>
      <c r="G180" s="190"/>
      <c r="H180" s="189"/>
      <c r="I180" s="189"/>
      <c r="J180" s="191"/>
      <c r="K180" s="191"/>
      <c r="L180" s="61">
        <f t="shared" si="16"/>
        <v>0</v>
      </c>
      <c r="M180" s="192"/>
      <c r="N180" s="193"/>
      <c r="O180" s="192"/>
      <c r="P180" s="194"/>
      <c r="Q180" s="195"/>
      <c r="R180" s="196"/>
      <c r="S180" s="197"/>
      <c r="T180" s="62">
        <f t="shared" si="17"/>
        <v>0</v>
      </c>
      <c r="U180" s="63">
        <f t="shared" si="18"/>
        <v>0</v>
      </c>
      <c r="V180" s="145">
        <f t="shared" si="19"/>
        <v>0</v>
      </c>
      <c r="W180" s="198"/>
      <c r="X180" s="1379"/>
      <c r="Y180" s="1380"/>
      <c r="Z180" s="62">
        <f t="shared" si="20"/>
        <v>0</v>
      </c>
      <c r="AA180" s="146">
        <f t="shared" si="21"/>
        <v>0</v>
      </c>
      <c r="AB180" s="198"/>
      <c r="AC180" s="1379"/>
      <c r="AD180" s="1380"/>
      <c r="AE180" s="62">
        <f t="shared" si="22"/>
        <v>0</v>
      </c>
      <c r="AF180" s="148">
        <f t="shared" si="23"/>
        <v>0</v>
      </c>
      <c r="AG180" s="198"/>
      <c r="AH180" s="1379"/>
      <c r="AI180" s="1380"/>
      <c r="AJ180"/>
      <c r="AK180"/>
      <c r="AL180"/>
      <c r="AM180"/>
      <c r="AN180"/>
    </row>
    <row r="181" spans="1:40" s="66" customFormat="1" ht="14.5">
      <c r="A181" s="186"/>
      <c r="B181" s="187"/>
      <c r="C181" s="188"/>
      <c r="D181" s="188"/>
      <c r="E181" s="189"/>
      <c r="F181" s="190"/>
      <c r="G181" s="190"/>
      <c r="H181" s="189"/>
      <c r="I181" s="189"/>
      <c r="J181" s="191"/>
      <c r="K181" s="191"/>
      <c r="L181" s="61">
        <f t="shared" si="16"/>
        <v>0</v>
      </c>
      <c r="M181" s="192"/>
      <c r="N181" s="193"/>
      <c r="O181" s="192"/>
      <c r="P181" s="194"/>
      <c r="Q181" s="195"/>
      <c r="R181" s="196"/>
      <c r="S181" s="197"/>
      <c r="T181" s="62">
        <f t="shared" si="17"/>
        <v>0</v>
      </c>
      <c r="U181" s="63">
        <f t="shared" si="18"/>
        <v>0</v>
      </c>
      <c r="V181" s="145">
        <f t="shared" si="19"/>
        <v>0</v>
      </c>
      <c r="W181" s="198"/>
      <c r="X181" s="1379"/>
      <c r="Y181" s="1380"/>
      <c r="Z181" s="62">
        <f t="shared" si="20"/>
        <v>0</v>
      </c>
      <c r="AA181" s="146">
        <f t="shared" si="21"/>
        <v>0</v>
      </c>
      <c r="AB181" s="198"/>
      <c r="AC181" s="1379"/>
      <c r="AD181" s="1380"/>
      <c r="AE181" s="62">
        <f t="shared" si="22"/>
        <v>0</v>
      </c>
      <c r="AF181" s="148">
        <f t="shared" si="23"/>
        <v>0</v>
      </c>
      <c r="AG181" s="198"/>
      <c r="AH181" s="1379"/>
      <c r="AI181" s="1380"/>
      <c r="AJ181"/>
      <c r="AK181"/>
      <c r="AL181"/>
      <c r="AM181"/>
      <c r="AN181"/>
    </row>
    <row r="182" spans="1:40" s="66" customFormat="1" ht="14.5">
      <c r="A182" s="186"/>
      <c r="B182" s="187"/>
      <c r="C182" s="188"/>
      <c r="D182" s="188"/>
      <c r="E182" s="189"/>
      <c r="F182" s="190"/>
      <c r="G182" s="190"/>
      <c r="H182" s="189"/>
      <c r="I182" s="189"/>
      <c r="J182" s="191"/>
      <c r="K182" s="191"/>
      <c r="L182" s="61">
        <f t="shared" si="16"/>
        <v>0</v>
      </c>
      <c r="M182" s="192"/>
      <c r="N182" s="193"/>
      <c r="O182" s="192"/>
      <c r="P182" s="194"/>
      <c r="Q182" s="195"/>
      <c r="R182" s="196"/>
      <c r="S182" s="197"/>
      <c r="T182" s="62">
        <f t="shared" si="17"/>
        <v>0</v>
      </c>
      <c r="U182" s="63">
        <f t="shared" si="18"/>
        <v>0</v>
      </c>
      <c r="V182" s="145">
        <f t="shared" si="19"/>
        <v>0</v>
      </c>
      <c r="W182" s="198"/>
      <c r="X182" s="1379"/>
      <c r="Y182" s="1380"/>
      <c r="Z182" s="62">
        <f t="shared" si="20"/>
        <v>0</v>
      </c>
      <c r="AA182" s="146">
        <f t="shared" si="21"/>
        <v>0</v>
      </c>
      <c r="AB182" s="198"/>
      <c r="AC182" s="1379"/>
      <c r="AD182" s="1380"/>
      <c r="AE182" s="62">
        <f t="shared" si="22"/>
        <v>0</v>
      </c>
      <c r="AF182" s="148">
        <f t="shared" si="23"/>
        <v>0</v>
      </c>
      <c r="AG182" s="198"/>
      <c r="AH182" s="1379"/>
      <c r="AI182" s="1380"/>
      <c r="AJ182"/>
      <c r="AK182"/>
      <c r="AL182"/>
      <c r="AM182"/>
      <c r="AN182"/>
    </row>
    <row r="183" spans="1:40" s="66" customFormat="1" ht="14.5">
      <c r="A183" s="186"/>
      <c r="B183" s="187"/>
      <c r="C183" s="188"/>
      <c r="D183" s="188"/>
      <c r="E183" s="189"/>
      <c r="F183" s="190"/>
      <c r="G183" s="190"/>
      <c r="H183" s="189"/>
      <c r="I183" s="189"/>
      <c r="J183" s="191"/>
      <c r="K183" s="191"/>
      <c r="L183" s="61">
        <f t="shared" si="16"/>
        <v>0</v>
      </c>
      <c r="M183" s="192"/>
      <c r="N183" s="193"/>
      <c r="O183" s="192"/>
      <c r="P183" s="194"/>
      <c r="Q183" s="195"/>
      <c r="R183" s="196"/>
      <c r="S183" s="197"/>
      <c r="T183" s="62">
        <f t="shared" si="17"/>
        <v>0</v>
      </c>
      <c r="U183" s="63">
        <f t="shared" si="18"/>
        <v>0</v>
      </c>
      <c r="V183" s="145">
        <f t="shared" si="19"/>
        <v>0</v>
      </c>
      <c r="W183" s="198"/>
      <c r="X183" s="1379"/>
      <c r="Y183" s="1380"/>
      <c r="Z183" s="62">
        <f t="shared" si="20"/>
        <v>0</v>
      </c>
      <c r="AA183" s="146">
        <f t="shared" si="21"/>
        <v>0</v>
      </c>
      <c r="AB183" s="198"/>
      <c r="AC183" s="1379"/>
      <c r="AD183" s="1380"/>
      <c r="AE183" s="62">
        <f t="shared" si="22"/>
        <v>0</v>
      </c>
      <c r="AF183" s="148">
        <f t="shared" si="23"/>
        <v>0</v>
      </c>
      <c r="AG183" s="198"/>
      <c r="AH183" s="1379"/>
      <c r="AI183" s="1380"/>
      <c r="AJ183"/>
      <c r="AK183"/>
      <c r="AL183"/>
      <c r="AM183"/>
      <c r="AN183"/>
    </row>
    <row r="184" spans="1:40" s="66" customFormat="1" ht="14.5">
      <c r="A184" s="186"/>
      <c r="B184" s="187"/>
      <c r="C184" s="188"/>
      <c r="D184" s="188"/>
      <c r="E184" s="189"/>
      <c r="F184" s="190"/>
      <c r="G184" s="190"/>
      <c r="H184" s="189"/>
      <c r="I184" s="189"/>
      <c r="J184" s="191"/>
      <c r="K184" s="191"/>
      <c r="L184" s="61">
        <f t="shared" si="16"/>
        <v>0</v>
      </c>
      <c r="M184" s="192"/>
      <c r="N184" s="193"/>
      <c r="O184" s="192"/>
      <c r="P184" s="194"/>
      <c r="Q184" s="195"/>
      <c r="R184" s="196"/>
      <c r="S184" s="197"/>
      <c r="T184" s="62">
        <f t="shared" si="17"/>
        <v>0</v>
      </c>
      <c r="U184" s="63">
        <f t="shared" si="18"/>
        <v>0</v>
      </c>
      <c r="V184" s="145">
        <f t="shared" si="19"/>
        <v>0</v>
      </c>
      <c r="W184" s="198"/>
      <c r="X184" s="1379"/>
      <c r="Y184" s="1380"/>
      <c r="Z184" s="62">
        <f t="shared" si="20"/>
        <v>0</v>
      </c>
      <c r="AA184" s="146">
        <f t="shared" si="21"/>
        <v>0</v>
      </c>
      <c r="AB184" s="198"/>
      <c r="AC184" s="1379"/>
      <c r="AD184" s="1380"/>
      <c r="AE184" s="62">
        <f t="shared" si="22"/>
        <v>0</v>
      </c>
      <c r="AF184" s="148">
        <f t="shared" si="23"/>
        <v>0</v>
      </c>
      <c r="AG184" s="198"/>
      <c r="AH184" s="1379"/>
      <c r="AI184" s="1380"/>
      <c r="AJ184"/>
      <c r="AK184"/>
      <c r="AL184"/>
      <c r="AM184"/>
      <c r="AN184"/>
    </row>
    <row r="185" spans="1:40" s="66" customFormat="1" ht="14.5">
      <c r="A185" s="186"/>
      <c r="B185" s="187"/>
      <c r="C185" s="188"/>
      <c r="D185" s="188"/>
      <c r="E185" s="189"/>
      <c r="F185" s="190"/>
      <c r="G185" s="190"/>
      <c r="H185" s="189"/>
      <c r="I185" s="189"/>
      <c r="J185" s="191"/>
      <c r="K185" s="191"/>
      <c r="L185" s="61">
        <f t="shared" si="16"/>
        <v>0</v>
      </c>
      <c r="M185" s="192"/>
      <c r="N185" s="193"/>
      <c r="O185" s="192"/>
      <c r="P185" s="194"/>
      <c r="Q185" s="195"/>
      <c r="R185" s="196"/>
      <c r="S185" s="197"/>
      <c r="T185" s="62">
        <f t="shared" si="17"/>
        <v>0</v>
      </c>
      <c r="U185" s="63">
        <f t="shared" si="18"/>
        <v>0</v>
      </c>
      <c r="V185" s="145">
        <f t="shared" si="19"/>
        <v>0</v>
      </c>
      <c r="W185" s="198"/>
      <c r="X185" s="1379"/>
      <c r="Y185" s="1380"/>
      <c r="Z185" s="62">
        <f t="shared" si="20"/>
        <v>0</v>
      </c>
      <c r="AA185" s="146">
        <f t="shared" si="21"/>
        <v>0</v>
      </c>
      <c r="AB185" s="198"/>
      <c r="AC185" s="1379"/>
      <c r="AD185" s="1380"/>
      <c r="AE185" s="62">
        <f t="shared" si="22"/>
        <v>0</v>
      </c>
      <c r="AF185" s="148">
        <f t="shared" si="23"/>
        <v>0</v>
      </c>
      <c r="AG185" s="198"/>
      <c r="AH185" s="1379"/>
      <c r="AI185" s="1380"/>
      <c r="AJ185"/>
      <c r="AK185"/>
      <c r="AL185"/>
      <c r="AM185"/>
      <c r="AN185"/>
    </row>
    <row r="186" spans="1:40" s="66" customFormat="1" ht="14.5">
      <c r="A186" s="186"/>
      <c r="B186" s="187"/>
      <c r="C186" s="188"/>
      <c r="D186" s="188"/>
      <c r="E186" s="189"/>
      <c r="F186" s="190"/>
      <c r="G186" s="190"/>
      <c r="H186" s="189"/>
      <c r="I186" s="189"/>
      <c r="J186" s="191"/>
      <c r="K186" s="191"/>
      <c r="L186" s="61">
        <f t="shared" si="16"/>
        <v>0</v>
      </c>
      <c r="M186" s="192"/>
      <c r="N186" s="193"/>
      <c r="O186" s="192"/>
      <c r="P186" s="194"/>
      <c r="Q186" s="195"/>
      <c r="R186" s="196"/>
      <c r="S186" s="197"/>
      <c r="T186" s="62">
        <f t="shared" si="17"/>
        <v>0</v>
      </c>
      <c r="U186" s="63">
        <f t="shared" si="18"/>
        <v>0</v>
      </c>
      <c r="V186" s="145">
        <f t="shared" si="19"/>
        <v>0</v>
      </c>
      <c r="W186" s="198"/>
      <c r="X186" s="1379"/>
      <c r="Y186" s="1380"/>
      <c r="Z186" s="62">
        <f t="shared" si="20"/>
        <v>0</v>
      </c>
      <c r="AA186" s="146">
        <f t="shared" si="21"/>
        <v>0</v>
      </c>
      <c r="AB186" s="198"/>
      <c r="AC186" s="1379"/>
      <c r="AD186" s="1380"/>
      <c r="AE186" s="62">
        <f t="shared" si="22"/>
        <v>0</v>
      </c>
      <c r="AF186" s="148">
        <f t="shared" si="23"/>
        <v>0</v>
      </c>
      <c r="AG186" s="198"/>
      <c r="AH186" s="1379"/>
      <c r="AI186" s="1380"/>
      <c r="AJ186"/>
      <c r="AK186"/>
      <c r="AL186"/>
      <c r="AM186"/>
      <c r="AN186"/>
    </row>
    <row r="187" spans="1:40" s="66" customFormat="1" ht="14.5">
      <c r="A187" s="186"/>
      <c r="B187" s="187"/>
      <c r="C187" s="188"/>
      <c r="D187" s="188"/>
      <c r="E187" s="189"/>
      <c r="F187" s="190"/>
      <c r="G187" s="190"/>
      <c r="H187" s="189"/>
      <c r="I187" s="189"/>
      <c r="J187" s="191"/>
      <c r="K187" s="191"/>
      <c r="L187" s="61">
        <f t="shared" si="16"/>
        <v>0</v>
      </c>
      <c r="M187" s="192"/>
      <c r="N187" s="193"/>
      <c r="O187" s="192"/>
      <c r="P187" s="194"/>
      <c r="Q187" s="195"/>
      <c r="R187" s="196"/>
      <c r="S187" s="197"/>
      <c r="T187" s="62">
        <f t="shared" si="17"/>
        <v>0</v>
      </c>
      <c r="U187" s="63">
        <f t="shared" si="18"/>
        <v>0</v>
      </c>
      <c r="V187" s="145">
        <f t="shared" si="19"/>
        <v>0</v>
      </c>
      <c r="W187" s="198"/>
      <c r="X187" s="1379"/>
      <c r="Y187" s="1380"/>
      <c r="Z187" s="62">
        <f t="shared" si="20"/>
        <v>0</v>
      </c>
      <c r="AA187" s="146">
        <f t="shared" si="21"/>
        <v>0</v>
      </c>
      <c r="AB187" s="198"/>
      <c r="AC187" s="1379"/>
      <c r="AD187" s="1380"/>
      <c r="AE187" s="62">
        <f t="shared" si="22"/>
        <v>0</v>
      </c>
      <c r="AF187" s="148">
        <f t="shared" si="23"/>
        <v>0</v>
      </c>
      <c r="AG187" s="198"/>
      <c r="AH187" s="1379"/>
      <c r="AI187" s="1380"/>
      <c r="AJ187"/>
      <c r="AK187"/>
      <c r="AL187"/>
      <c r="AM187"/>
      <c r="AN187"/>
    </row>
    <row r="188" spans="1:40" s="66" customFormat="1" ht="14.5">
      <c r="A188" s="186"/>
      <c r="B188" s="187"/>
      <c r="C188" s="188"/>
      <c r="D188" s="188"/>
      <c r="E188" s="189"/>
      <c r="F188" s="190"/>
      <c r="G188" s="190"/>
      <c r="H188" s="189"/>
      <c r="I188" s="189"/>
      <c r="J188" s="191"/>
      <c r="K188" s="191"/>
      <c r="L188" s="61">
        <f t="shared" si="16"/>
        <v>0</v>
      </c>
      <c r="M188" s="192"/>
      <c r="N188" s="193"/>
      <c r="O188" s="192"/>
      <c r="P188" s="194"/>
      <c r="Q188" s="195"/>
      <c r="R188" s="196"/>
      <c r="S188" s="197"/>
      <c r="T188" s="62">
        <f t="shared" si="17"/>
        <v>0</v>
      </c>
      <c r="U188" s="63">
        <f t="shared" si="18"/>
        <v>0</v>
      </c>
      <c r="V188" s="145">
        <f t="shared" si="19"/>
        <v>0</v>
      </c>
      <c r="W188" s="198"/>
      <c r="X188" s="1379"/>
      <c r="Y188" s="1380"/>
      <c r="Z188" s="62">
        <f t="shared" si="20"/>
        <v>0</v>
      </c>
      <c r="AA188" s="146">
        <f t="shared" si="21"/>
        <v>0</v>
      </c>
      <c r="AB188" s="198"/>
      <c r="AC188" s="1379"/>
      <c r="AD188" s="1380"/>
      <c r="AE188" s="62">
        <f t="shared" si="22"/>
        <v>0</v>
      </c>
      <c r="AF188" s="148">
        <f t="shared" si="23"/>
        <v>0</v>
      </c>
      <c r="AG188" s="198"/>
      <c r="AH188" s="1379"/>
      <c r="AI188" s="1380"/>
      <c r="AJ188"/>
      <c r="AK188"/>
      <c r="AL188"/>
      <c r="AM188"/>
      <c r="AN188"/>
    </row>
    <row r="189" spans="1:40" s="66" customFormat="1" ht="14.5">
      <c r="A189" s="186"/>
      <c r="B189" s="187"/>
      <c r="C189" s="188"/>
      <c r="D189" s="188"/>
      <c r="E189" s="189"/>
      <c r="F189" s="190"/>
      <c r="G189" s="190"/>
      <c r="H189" s="189"/>
      <c r="I189" s="189"/>
      <c r="J189" s="191"/>
      <c r="K189" s="191"/>
      <c r="L189" s="61">
        <f t="shared" si="16"/>
        <v>0</v>
      </c>
      <c r="M189" s="192"/>
      <c r="N189" s="193"/>
      <c r="O189" s="192"/>
      <c r="P189" s="194"/>
      <c r="Q189" s="195"/>
      <c r="R189" s="196"/>
      <c r="S189" s="197"/>
      <c r="T189" s="62">
        <f t="shared" si="17"/>
        <v>0</v>
      </c>
      <c r="U189" s="63">
        <f t="shared" si="18"/>
        <v>0</v>
      </c>
      <c r="V189" s="145">
        <f t="shared" si="19"/>
        <v>0</v>
      </c>
      <c r="W189" s="198"/>
      <c r="X189" s="1379"/>
      <c r="Y189" s="1380"/>
      <c r="Z189" s="62">
        <f t="shared" si="20"/>
        <v>0</v>
      </c>
      <c r="AA189" s="146">
        <f t="shared" si="21"/>
        <v>0</v>
      </c>
      <c r="AB189" s="198"/>
      <c r="AC189" s="1379"/>
      <c r="AD189" s="1380"/>
      <c r="AE189" s="62">
        <f t="shared" si="22"/>
        <v>0</v>
      </c>
      <c r="AF189" s="148">
        <f t="shared" si="23"/>
        <v>0</v>
      </c>
      <c r="AG189" s="198"/>
      <c r="AH189" s="1379"/>
      <c r="AI189" s="1380"/>
      <c r="AJ189"/>
      <c r="AK189"/>
      <c r="AL189"/>
      <c r="AM189"/>
      <c r="AN189"/>
    </row>
    <row r="190" spans="1:40" s="66" customFormat="1" ht="14.5">
      <c r="A190" s="186"/>
      <c r="B190" s="187"/>
      <c r="C190" s="188"/>
      <c r="D190" s="188"/>
      <c r="E190" s="189"/>
      <c r="F190" s="190"/>
      <c r="G190" s="190"/>
      <c r="H190" s="189"/>
      <c r="I190" s="189"/>
      <c r="J190" s="191"/>
      <c r="K190" s="191"/>
      <c r="L190" s="61">
        <f t="shared" si="16"/>
        <v>0</v>
      </c>
      <c r="M190" s="192"/>
      <c r="N190" s="193"/>
      <c r="O190" s="192"/>
      <c r="P190" s="194"/>
      <c r="Q190" s="195"/>
      <c r="R190" s="196"/>
      <c r="S190" s="197"/>
      <c r="T190" s="62">
        <f t="shared" si="17"/>
        <v>0</v>
      </c>
      <c r="U190" s="63">
        <f t="shared" si="18"/>
        <v>0</v>
      </c>
      <c r="V190" s="145">
        <f t="shared" si="19"/>
        <v>0</v>
      </c>
      <c r="W190" s="198"/>
      <c r="X190" s="1379"/>
      <c r="Y190" s="1380"/>
      <c r="Z190" s="62">
        <f t="shared" si="20"/>
        <v>0</v>
      </c>
      <c r="AA190" s="146">
        <f t="shared" si="21"/>
        <v>0</v>
      </c>
      <c r="AB190" s="198"/>
      <c r="AC190" s="1379"/>
      <c r="AD190" s="1380"/>
      <c r="AE190" s="62">
        <f t="shared" si="22"/>
        <v>0</v>
      </c>
      <c r="AF190" s="148">
        <f t="shared" si="23"/>
        <v>0</v>
      </c>
      <c r="AG190" s="198"/>
      <c r="AH190" s="1379"/>
      <c r="AI190" s="1380"/>
      <c r="AJ190"/>
      <c r="AK190"/>
      <c r="AL190"/>
      <c r="AM190"/>
      <c r="AN190"/>
    </row>
    <row r="191" spans="1:40" s="66" customFormat="1" ht="14.5">
      <c r="A191" s="186"/>
      <c r="B191" s="187"/>
      <c r="C191" s="188"/>
      <c r="D191" s="188"/>
      <c r="E191" s="189"/>
      <c r="F191" s="190"/>
      <c r="G191" s="190"/>
      <c r="H191" s="189"/>
      <c r="I191" s="189"/>
      <c r="J191" s="191"/>
      <c r="K191" s="191"/>
      <c r="L191" s="61">
        <f t="shared" si="16"/>
        <v>0</v>
      </c>
      <c r="M191" s="192"/>
      <c r="N191" s="193"/>
      <c r="O191" s="192"/>
      <c r="P191" s="194"/>
      <c r="Q191" s="195"/>
      <c r="R191" s="196"/>
      <c r="S191" s="197"/>
      <c r="T191" s="62">
        <f t="shared" si="17"/>
        <v>0</v>
      </c>
      <c r="U191" s="63">
        <f t="shared" si="18"/>
        <v>0</v>
      </c>
      <c r="V191" s="145">
        <f t="shared" si="19"/>
        <v>0</v>
      </c>
      <c r="W191" s="198"/>
      <c r="X191" s="1379"/>
      <c r="Y191" s="1380"/>
      <c r="Z191" s="62">
        <f t="shared" si="20"/>
        <v>0</v>
      </c>
      <c r="AA191" s="146">
        <f t="shared" si="21"/>
        <v>0</v>
      </c>
      <c r="AB191" s="198"/>
      <c r="AC191" s="1379"/>
      <c r="AD191" s="1380"/>
      <c r="AE191" s="62">
        <f t="shared" si="22"/>
        <v>0</v>
      </c>
      <c r="AF191" s="148">
        <f t="shared" si="23"/>
        <v>0</v>
      </c>
      <c r="AG191" s="198"/>
      <c r="AH191" s="1379"/>
      <c r="AI191" s="1380"/>
      <c r="AJ191"/>
      <c r="AK191"/>
      <c r="AL191"/>
      <c r="AM191"/>
      <c r="AN191"/>
    </row>
    <row r="192" spans="1:40" s="66" customFormat="1" ht="14.5">
      <c r="A192" s="186"/>
      <c r="B192" s="187"/>
      <c r="C192" s="188"/>
      <c r="D192" s="188"/>
      <c r="E192" s="189"/>
      <c r="F192" s="190"/>
      <c r="G192" s="190"/>
      <c r="H192" s="189"/>
      <c r="I192" s="189"/>
      <c r="J192" s="191"/>
      <c r="K192" s="191"/>
      <c r="L192" s="61">
        <f t="shared" si="16"/>
        <v>0</v>
      </c>
      <c r="M192" s="192"/>
      <c r="N192" s="193"/>
      <c r="O192" s="192"/>
      <c r="P192" s="194"/>
      <c r="Q192" s="195"/>
      <c r="R192" s="196"/>
      <c r="S192" s="197"/>
      <c r="T192" s="62">
        <f t="shared" si="17"/>
        <v>0</v>
      </c>
      <c r="U192" s="63">
        <f t="shared" si="18"/>
        <v>0</v>
      </c>
      <c r="V192" s="145">
        <f t="shared" si="19"/>
        <v>0</v>
      </c>
      <c r="W192" s="198"/>
      <c r="X192" s="1379"/>
      <c r="Y192" s="1380"/>
      <c r="Z192" s="62">
        <f t="shared" si="20"/>
        <v>0</v>
      </c>
      <c r="AA192" s="146">
        <f t="shared" si="21"/>
        <v>0</v>
      </c>
      <c r="AB192" s="198"/>
      <c r="AC192" s="1379"/>
      <c r="AD192" s="1380"/>
      <c r="AE192" s="62">
        <f t="shared" si="22"/>
        <v>0</v>
      </c>
      <c r="AF192" s="148">
        <f t="shared" si="23"/>
        <v>0</v>
      </c>
      <c r="AG192" s="198"/>
      <c r="AH192" s="1379"/>
      <c r="AI192" s="1380"/>
      <c r="AJ192"/>
      <c r="AK192"/>
      <c r="AL192"/>
      <c r="AM192"/>
      <c r="AN192"/>
    </row>
    <row r="193" spans="1:40" s="66" customFormat="1" ht="14.5">
      <c r="A193" s="186"/>
      <c r="B193" s="187"/>
      <c r="C193" s="188"/>
      <c r="D193" s="188"/>
      <c r="E193" s="189"/>
      <c r="F193" s="190"/>
      <c r="G193" s="190"/>
      <c r="H193" s="189"/>
      <c r="I193" s="189"/>
      <c r="J193" s="191"/>
      <c r="K193" s="191"/>
      <c r="L193" s="61">
        <f t="shared" si="16"/>
        <v>0</v>
      </c>
      <c r="M193" s="192"/>
      <c r="N193" s="193"/>
      <c r="O193" s="192"/>
      <c r="P193" s="194"/>
      <c r="Q193" s="195"/>
      <c r="R193" s="196"/>
      <c r="S193" s="197"/>
      <c r="T193" s="62">
        <f t="shared" si="17"/>
        <v>0</v>
      </c>
      <c r="U193" s="63">
        <f t="shared" si="18"/>
        <v>0</v>
      </c>
      <c r="V193" s="145">
        <f t="shared" si="19"/>
        <v>0</v>
      </c>
      <c r="W193" s="198"/>
      <c r="X193" s="1379"/>
      <c r="Y193" s="1380"/>
      <c r="Z193" s="62">
        <f t="shared" si="20"/>
        <v>0</v>
      </c>
      <c r="AA193" s="146">
        <f t="shared" si="21"/>
        <v>0</v>
      </c>
      <c r="AB193" s="198"/>
      <c r="AC193" s="1379"/>
      <c r="AD193" s="1380"/>
      <c r="AE193" s="62">
        <f t="shared" si="22"/>
        <v>0</v>
      </c>
      <c r="AF193" s="148">
        <f t="shared" si="23"/>
        <v>0</v>
      </c>
      <c r="AG193" s="198"/>
      <c r="AH193" s="1379"/>
      <c r="AI193" s="1380"/>
      <c r="AJ193"/>
      <c r="AK193"/>
      <c r="AL193"/>
      <c r="AM193"/>
      <c r="AN193"/>
    </row>
    <row r="194" spans="1:40" s="66" customFormat="1" ht="14.5">
      <c r="A194" s="186"/>
      <c r="B194" s="187"/>
      <c r="C194" s="188"/>
      <c r="D194" s="188"/>
      <c r="E194" s="189"/>
      <c r="F194" s="190"/>
      <c r="G194" s="190"/>
      <c r="H194" s="189"/>
      <c r="I194" s="189"/>
      <c r="J194" s="191"/>
      <c r="K194" s="191"/>
      <c r="L194" s="61">
        <f t="shared" si="16"/>
        <v>0</v>
      </c>
      <c r="M194" s="192"/>
      <c r="N194" s="193"/>
      <c r="O194" s="192"/>
      <c r="P194" s="194"/>
      <c r="Q194" s="195"/>
      <c r="R194" s="196"/>
      <c r="S194" s="197"/>
      <c r="T194" s="62">
        <f t="shared" si="17"/>
        <v>0</v>
      </c>
      <c r="U194" s="63">
        <f t="shared" si="18"/>
        <v>0</v>
      </c>
      <c r="V194" s="145">
        <f t="shared" si="19"/>
        <v>0</v>
      </c>
      <c r="W194" s="198"/>
      <c r="X194" s="1379"/>
      <c r="Y194" s="1380"/>
      <c r="Z194" s="62">
        <f t="shared" si="20"/>
        <v>0</v>
      </c>
      <c r="AA194" s="146">
        <f t="shared" si="21"/>
        <v>0</v>
      </c>
      <c r="AB194" s="198"/>
      <c r="AC194" s="1379"/>
      <c r="AD194" s="1380"/>
      <c r="AE194" s="62">
        <f t="shared" si="22"/>
        <v>0</v>
      </c>
      <c r="AF194" s="148">
        <f t="shared" si="23"/>
        <v>0</v>
      </c>
      <c r="AG194" s="198"/>
      <c r="AH194" s="1379"/>
      <c r="AI194" s="1380"/>
      <c r="AJ194"/>
      <c r="AK194"/>
      <c r="AL194"/>
      <c r="AM194"/>
      <c r="AN194"/>
    </row>
    <row r="195" spans="1:40" s="66" customFormat="1" ht="14.5">
      <c r="A195" s="186"/>
      <c r="B195" s="187"/>
      <c r="C195" s="188"/>
      <c r="D195" s="188"/>
      <c r="E195" s="189"/>
      <c r="F195" s="190"/>
      <c r="G195" s="190"/>
      <c r="H195" s="189"/>
      <c r="I195" s="189"/>
      <c r="J195" s="191"/>
      <c r="K195" s="191"/>
      <c r="L195" s="61">
        <f t="shared" si="16"/>
        <v>0</v>
      </c>
      <c r="M195" s="192"/>
      <c r="N195" s="193"/>
      <c r="O195" s="192"/>
      <c r="P195" s="194"/>
      <c r="Q195" s="195"/>
      <c r="R195" s="196"/>
      <c r="S195" s="197"/>
      <c r="T195" s="62">
        <f t="shared" si="17"/>
        <v>0</v>
      </c>
      <c r="U195" s="63">
        <f t="shared" si="18"/>
        <v>0</v>
      </c>
      <c r="V195" s="145">
        <f t="shared" si="19"/>
        <v>0</v>
      </c>
      <c r="W195" s="198"/>
      <c r="X195" s="1379"/>
      <c r="Y195" s="1380"/>
      <c r="Z195" s="62">
        <f t="shared" si="20"/>
        <v>0</v>
      </c>
      <c r="AA195" s="146">
        <f t="shared" si="21"/>
        <v>0</v>
      </c>
      <c r="AB195" s="198"/>
      <c r="AC195" s="1379"/>
      <c r="AD195" s="1380"/>
      <c r="AE195" s="62">
        <f t="shared" si="22"/>
        <v>0</v>
      </c>
      <c r="AF195" s="148">
        <f t="shared" si="23"/>
        <v>0</v>
      </c>
      <c r="AG195" s="198"/>
      <c r="AH195" s="1379"/>
      <c r="AI195" s="1380"/>
      <c r="AJ195"/>
      <c r="AK195"/>
      <c r="AL195"/>
      <c r="AM195"/>
      <c r="AN195"/>
    </row>
    <row r="196" spans="1:40" s="66" customFormat="1" ht="14.5">
      <c r="A196" s="186"/>
      <c r="B196" s="187"/>
      <c r="C196" s="188"/>
      <c r="D196" s="188"/>
      <c r="E196" s="189"/>
      <c r="F196" s="190"/>
      <c r="G196" s="190"/>
      <c r="H196" s="189"/>
      <c r="I196" s="189"/>
      <c r="J196" s="191"/>
      <c r="K196" s="191"/>
      <c r="L196" s="61">
        <f t="shared" si="16"/>
        <v>0</v>
      </c>
      <c r="M196" s="192"/>
      <c r="N196" s="193"/>
      <c r="O196" s="192"/>
      <c r="P196" s="194"/>
      <c r="Q196" s="195"/>
      <c r="R196" s="196"/>
      <c r="S196" s="197"/>
      <c r="T196" s="62">
        <f t="shared" si="17"/>
        <v>0</v>
      </c>
      <c r="U196" s="63">
        <f t="shared" si="18"/>
        <v>0</v>
      </c>
      <c r="V196" s="145">
        <f t="shared" si="19"/>
        <v>0</v>
      </c>
      <c r="W196" s="198"/>
      <c r="X196" s="1379"/>
      <c r="Y196" s="1380"/>
      <c r="Z196" s="62">
        <f t="shared" si="20"/>
        <v>0</v>
      </c>
      <c r="AA196" s="146">
        <f t="shared" si="21"/>
        <v>0</v>
      </c>
      <c r="AB196" s="198"/>
      <c r="AC196" s="1379"/>
      <c r="AD196" s="1380"/>
      <c r="AE196" s="62">
        <f t="shared" si="22"/>
        <v>0</v>
      </c>
      <c r="AF196" s="148">
        <f t="shared" si="23"/>
        <v>0</v>
      </c>
      <c r="AG196" s="198"/>
      <c r="AH196" s="1379"/>
      <c r="AI196" s="1380"/>
      <c r="AJ196"/>
      <c r="AK196"/>
      <c r="AL196"/>
      <c r="AM196"/>
      <c r="AN196"/>
    </row>
    <row r="197" spans="1:40" s="66" customFormat="1" ht="14.5">
      <c r="A197" s="186"/>
      <c r="B197" s="187"/>
      <c r="C197" s="188"/>
      <c r="D197" s="188"/>
      <c r="E197" s="189"/>
      <c r="F197" s="190"/>
      <c r="G197" s="190"/>
      <c r="H197" s="189"/>
      <c r="I197" s="189"/>
      <c r="J197" s="191"/>
      <c r="K197" s="191"/>
      <c r="L197" s="61">
        <f t="shared" si="16"/>
        <v>0</v>
      </c>
      <c r="M197" s="192"/>
      <c r="N197" s="193"/>
      <c r="O197" s="192"/>
      <c r="P197" s="194"/>
      <c r="Q197" s="195"/>
      <c r="R197" s="196"/>
      <c r="S197" s="197"/>
      <c r="T197" s="62">
        <f t="shared" si="17"/>
        <v>0</v>
      </c>
      <c r="U197" s="63">
        <f t="shared" si="18"/>
        <v>0</v>
      </c>
      <c r="V197" s="145">
        <f t="shared" si="19"/>
        <v>0</v>
      </c>
      <c r="W197" s="198"/>
      <c r="X197" s="1379"/>
      <c r="Y197" s="1380"/>
      <c r="Z197" s="62">
        <f t="shared" si="20"/>
        <v>0</v>
      </c>
      <c r="AA197" s="146">
        <f t="shared" si="21"/>
        <v>0</v>
      </c>
      <c r="AB197" s="198"/>
      <c r="AC197" s="1379"/>
      <c r="AD197" s="1380"/>
      <c r="AE197" s="62">
        <f t="shared" si="22"/>
        <v>0</v>
      </c>
      <c r="AF197" s="148">
        <f t="shared" si="23"/>
        <v>0</v>
      </c>
      <c r="AG197" s="198"/>
      <c r="AH197" s="1379"/>
      <c r="AI197" s="1380"/>
      <c r="AJ197"/>
      <c r="AK197"/>
      <c r="AL197"/>
      <c r="AM197"/>
      <c r="AN197"/>
    </row>
    <row r="198" spans="1:40" s="66" customFormat="1" ht="14.5">
      <c r="A198" s="186"/>
      <c r="B198" s="187"/>
      <c r="C198" s="188"/>
      <c r="D198" s="188"/>
      <c r="E198" s="189"/>
      <c r="F198" s="190"/>
      <c r="G198" s="190"/>
      <c r="H198" s="189"/>
      <c r="I198" s="189"/>
      <c r="J198" s="191"/>
      <c r="K198" s="191"/>
      <c r="L198" s="61">
        <f t="shared" si="16"/>
        <v>0</v>
      </c>
      <c r="M198" s="192"/>
      <c r="N198" s="193"/>
      <c r="O198" s="192"/>
      <c r="P198" s="194"/>
      <c r="Q198" s="195"/>
      <c r="R198" s="196"/>
      <c r="S198" s="197"/>
      <c r="T198" s="62">
        <f t="shared" si="17"/>
        <v>0</v>
      </c>
      <c r="U198" s="63">
        <f t="shared" si="18"/>
        <v>0</v>
      </c>
      <c r="V198" s="145">
        <f t="shared" si="19"/>
        <v>0</v>
      </c>
      <c r="W198" s="198"/>
      <c r="X198" s="1379"/>
      <c r="Y198" s="1380"/>
      <c r="Z198" s="62">
        <f t="shared" si="20"/>
        <v>0</v>
      </c>
      <c r="AA198" s="146">
        <f t="shared" si="21"/>
        <v>0</v>
      </c>
      <c r="AB198" s="198"/>
      <c r="AC198" s="1379"/>
      <c r="AD198" s="1380"/>
      <c r="AE198" s="62">
        <f t="shared" si="22"/>
        <v>0</v>
      </c>
      <c r="AF198" s="148">
        <f t="shared" si="23"/>
        <v>0</v>
      </c>
      <c r="AG198" s="198"/>
      <c r="AH198" s="1379"/>
      <c r="AI198" s="1380"/>
      <c r="AJ198"/>
      <c r="AK198"/>
      <c r="AL198"/>
      <c r="AM198"/>
      <c r="AN198"/>
    </row>
    <row r="199" spans="1:40" s="66" customFormat="1" ht="14.5">
      <c r="A199" s="186"/>
      <c r="B199" s="187"/>
      <c r="C199" s="188"/>
      <c r="D199" s="188"/>
      <c r="E199" s="189"/>
      <c r="F199" s="190"/>
      <c r="G199" s="190"/>
      <c r="H199" s="189"/>
      <c r="I199" s="189"/>
      <c r="J199" s="191"/>
      <c r="K199" s="191"/>
      <c r="L199" s="61">
        <f t="shared" si="16"/>
        <v>0</v>
      </c>
      <c r="M199" s="192"/>
      <c r="N199" s="193"/>
      <c r="O199" s="192"/>
      <c r="P199" s="194"/>
      <c r="Q199" s="195"/>
      <c r="R199" s="196"/>
      <c r="S199" s="197"/>
      <c r="T199" s="62">
        <f t="shared" si="17"/>
        <v>0</v>
      </c>
      <c r="U199" s="63">
        <f t="shared" si="18"/>
        <v>0</v>
      </c>
      <c r="V199" s="145">
        <f t="shared" si="19"/>
        <v>0</v>
      </c>
      <c r="W199" s="198"/>
      <c r="X199" s="1379"/>
      <c r="Y199" s="1380"/>
      <c r="Z199" s="62">
        <f t="shared" si="20"/>
        <v>0</v>
      </c>
      <c r="AA199" s="146">
        <f t="shared" si="21"/>
        <v>0</v>
      </c>
      <c r="AB199" s="198"/>
      <c r="AC199" s="1379"/>
      <c r="AD199" s="1380"/>
      <c r="AE199" s="62">
        <f t="shared" si="22"/>
        <v>0</v>
      </c>
      <c r="AF199" s="148">
        <f t="shared" si="23"/>
        <v>0</v>
      </c>
      <c r="AG199" s="198"/>
      <c r="AH199" s="1379"/>
      <c r="AI199" s="1380"/>
      <c r="AJ199"/>
      <c r="AK199"/>
      <c r="AL199"/>
      <c r="AM199"/>
      <c r="AN199"/>
    </row>
    <row r="200" spans="1:40" s="66" customFormat="1" ht="14.5">
      <c r="A200" s="186"/>
      <c r="B200" s="187"/>
      <c r="C200" s="188"/>
      <c r="D200" s="188"/>
      <c r="E200" s="189"/>
      <c r="F200" s="190"/>
      <c r="G200" s="190"/>
      <c r="H200" s="189"/>
      <c r="I200" s="189"/>
      <c r="J200" s="191"/>
      <c r="K200" s="191"/>
      <c r="L200" s="61">
        <f t="shared" si="16"/>
        <v>0</v>
      </c>
      <c r="M200" s="192"/>
      <c r="N200" s="193"/>
      <c r="O200" s="192"/>
      <c r="P200" s="194"/>
      <c r="Q200" s="195"/>
      <c r="R200" s="196"/>
      <c r="S200" s="197"/>
      <c r="T200" s="62">
        <f t="shared" si="17"/>
        <v>0</v>
      </c>
      <c r="U200" s="63">
        <f t="shared" si="18"/>
        <v>0</v>
      </c>
      <c r="V200" s="145">
        <f t="shared" si="19"/>
        <v>0</v>
      </c>
      <c r="W200" s="198"/>
      <c r="X200" s="1379"/>
      <c r="Y200" s="1380"/>
      <c r="Z200" s="62">
        <f t="shared" si="20"/>
        <v>0</v>
      </c>
      <c r="AA200" s="146">
        <f t="shared" si="21"/>
        <v>0</v>
      </c>
      <c r="AB200" s="198"/>
      <c r="AC200" s="1379"/>
      <c r="AD200" s="1380"/>
      <c r="AE200" s="62">
        <f t="shared" si="22"/>
        <v>0</v>
      </c>
      <c r="AF200" s="148">
        <f t="shared" si="23"/>
        <v>0</v>
      </c>
      <c r="AG200" s="198"/>
      <c r="AH200" s="1379"/>
      <c r="AI200" s="1380"/>
      <c r="AJ200"/>
      <c r="AK200"/>
      <c r="AL200"/>
      <c r="AM200"/>
      <c r="AN200"/>
    </row>
    <row r="201" spans="1:40" s="66" customFormat="1" ht="14.5">
      <c r="A201" s="186"/>
      <c r="B201" s="187"/>
      <c r="C201" s="188"/>
      <c r="D201" s="188"/>
      <c r="E201" s="189"/>
      <c r="F201" s="190"/>
      <c r="G201" s="190"/>
      <c r="H201" s="189"/>
      <c r="I201" s="189"/>
      <c r="J201" s="191"/>
      <c r="K201" s="191"/>
      <c r="L201" s="61">
        <f t="shared" si="16"/>
        <v>0</v>
      </c>
      <c r="M201" s="192"/>
      <c r="N201" s="193"/>
      <c r="O201" s="192"/>
      <c r="P201" s="194"/>
      <c r="Q201" s="195"/>
      <c r="R201" s="196"/>
      <c r="S201" s="197"/>
      <c r="T201" s="62">
        <f t="shared" si="17"/>
        <v>0</v>
      </c>
      <c r="U201" s="63">
        <f t="shared" si="18"/>
        <v>0</v>
      </c>
      <c r="V201" s="145">
        <f t="shared" si="19"/>
        <v>0</v>
      </c>
      <c r="W201" s="198"/>
      <c r="X201" s="1379"/>
      <c r="Y201" s="1380"/>
      <c r="Z201" s="62">
        <f t="shared" si="20"/>
        <v>0</v>
      </c>
      <c r="AA201" s="146">
        <f t="shared" si="21"/>
        <v>0</v>
      </c>
      <c r="AB201" s="198"/>
      <c r="AC201" s="1379"/>
      <c r="AD201" s="1380"/>
      <c r="AE201" s="62">
        <f t="shared" si="22"/>
        <v>0</v>
      </c>
      <c r="AF201" s="148">
        <f t="shared" si="23"/>
        <v>0</v>
      </c>
      <c r="AG201" s="198"/>
      <c r="AH201" s="1379"/>
      <c r="AI201" s="1380"/>
      <c r="AJ201"/>
      <c r="AK201"/>
      <c r="AL201"/>
      <c r="AM201"/>
      <c r="AN201"/>
    </row>
    <row r="202" spans="1:40" s="66" customFormat="1" ht="14.5">
      <c r="A202" s="186"/>
      <c r="B202" s="187"/>
      <c r="C202" s="188"/>
      <c r="D202" s="188"/>
      <c r="E202" s="189"/>
      <c r="F202" s="190"/>
      <c r="G202" s="190"/>
      <c r="H202" s="189"/>
      <c r="I202" s="189"/>
      <c r="J202" s="191"/>
      <c r="K202" s="191"/>
      <c r="L202" s="61">
        <f t="shared" si="16"/>
        <v>0</v>
      </c>
      <c r="M202" s="192"/>
      <c r="N202" s="193"/>
      <c r="O202" s="192"/>
      <c r="P202" s="194"/>
      <c r="Q202" s="195"/>
      <c r="R202" s="196"/>
      <c r="S202" s="197"/>
      <c r="T202" s="62">
        <f t="shared" si="17"/>
        <v>0</v>
      </c>
      <c r="U202" s="63">
        <f t="shared" si="18"/>
        <v>0</v>
      </c>
      <c r="V202" s="145">
        <f t="shared" si="19"/>
        <v>0</v>
      </c>
      <c r="W202" s="198"/>
      <c r="X202" s="1379"/>
      <c r="Y202" s="1380"/>
      <c r="Z202" s="62">
        <f t="shared" si="20"/>
        <v>0</v>
      </c>
      <c r="AA202" s="146">
        <f t="shared" si="21"/>
        <v>0</v>
      </c>
      <c r="AB202" s="198"/>
      <c r="AC202" s="1379"/>
      <c r="AD202" s="1380"/>
      <c r="AE202" s="62">
        <f t="shared" si="22"/>
        <v>0</v>
      </c>
      <c r="AF202" s="148">
        <f t="shared" si="23"/>
        <v>0</v>
      </c>
      <c r="AG202" s="198"/>
      <c r="AH202" s="1379"/>
      <c r="AI202" s="1380"/>
      <c r="AJ202"/>
      <c r="AK202"/>
      <c r="AL202"/>
      <c r="AM202"/>
      <c r="AN202"/>
    </row>
    <row r="203" spans="1:40" s="66" customFormat="1" ht="14.5">
      <c r="A203" s="186"/>
      <c r="B203" s="187"/>
      <c r="C203" s="188"/>
      <c r="D203" s="188"/>
      <c r="E203" s="189"/>
      <c r="F203" s="190"/>
      <c r="G203" s="190"/>
      <c r="H203" s="189"/>
      <c r="I203" s="189"/>
      <c r="J203" s="191"/>
      <c r="K203" s="191"/>
      <c r="L203" s="61">
        <f t="shared" si="16"/>
        <v>0</v>
      </c>
      <c r="M203" s="192"/>
      <c r="N203" s="193"/>
      <c r="O203" s="192"/>
      <c r="P203" s="194"/>
      <c r="Q203" s="195"/>
      <c r="R203" s="196"/>
      <c r="S203" s="197"/>
      <c r="T203" s="62">
        <f t="shared" si="17"/>
        <v>0</v>
      </c>
      <c r="U203" s="63">
        <f t="shared" si="18"/>
        <v>0</v>
      </c>
      <c r="V203" s="145">
        <f t="shared" si="19"/>
        <v>0</v>
      </c>
      <c r="W203" s="198"/>
      <c r="X203" s="1379"/>
      <c r="Y203" s="1380"/>
      <c r="Z203" s="62">
        <f t="shared" si="20"/>
        <v>0</v>
      </c>
      <c r="AA203" s="146">
        <f t="shared" si="21"/>
        <v>0</v>
      </c>
      <c r="AB203" s="198"/>
      <c r="AC203" s="1379"/>
      <c r="AD203" s="1380"/>
      <c r="AE203" s="62">
        <f t="shared" si="22"/>
        <v>0</v>
      </c>
      <c r="AF203" s="148">
        <f t="shared" si="23"/>
        <v>0</v>
      </c>
      <c r="AG203" s="198"/>
      <c r="AH203" s="1379"/>
      <c r="AI203" s="1380"/>
      <c r="AJ203"/>
      <c r="AK203"/>
      <c r="AL203"/>
      <c r="AM203"/>
      <c r="AN203"/>
    </row>
    <row r="204" spans="1:40" s="66" customFormat="1" ht="14.5">
      <c r="A204" s="186"/>
      <c r="B204" s="187"/>
      <c r="C204" s="188"/>
      <c r="D204" s="188"/>
      <c r="E204" s="189"/>
      <c r="F204" s="190"/>
      <c r="G204" s="190"/>
      <c r="H204" s="189"/>
      <c r="I204" s="189"/>
      <c r="J204" s="191"/>
      <c r="K204" s="191"/>
      <c r="L204" s="61">
        <f t="shared" si="16"/>
        <v>0</v>
      </c>
      <c r="M204" s="192"/>
      <c r="N204" s="193"/>
      <c r="O204" s="192"/>
      <c r="P204" s="194"/>
      <c r="Q204" s="195"/>
      <c r="R204" s="196"/>
      <c r="S204" s="197"/>
      <c r="T204" s="62">
        <f t="shared" si="17"/>
        <v>0</v>
      </c>
      <c r="U204" s="63">
        <f t="shared" si="18"/>
        <v>0</v>
      </c>
      <c r="V204" s="145">
        <f t="shared" si="19"/>
        <v>0</v>
      </c>
      <c r="W204" s="198"/>
      <c r="X204" s="1379"/>
      <c r="Y204" s="1380"/>
      <c r="Z204" s="62">
        <f t="shared" si="20"/>
        <v>0</v>
      </c>
      <c r="AA204" s="146">
        <f t="shared" si="21"/>
        <v>0</v>
      </c>
      <c r="AB204" s="198"/>
      <c r="AC204" s="1379"/>
      <c r="AD204" s="1380"/>
      <c r="AE204" s="62">
        <f t="shared" si="22"/>
        <v>0</v>
      </c>
      <c r="AF204" s="148">
        <f t="shared" si="23"/>
        <v>0</v>
      </c>
      <c r="AG204" s="198"/>
      <c r="AH204" s="1379"/>
      <c r="AI204" s="1380"/>
      <c r="AJ204"/>
      <c r="AK204"/>
      <c r="AL204"/>
      <c r="AM204"/>
      <c r="AN204"/>
    </row>
    <row r="205" spans="1:40" s="66" customFormat="1" ht="14.5">
      <c r="A205" s="186"/>
      <c r="B205" s="187"/>
      <c r="C205" s="188"/>
      <c r="D205" s="188"/>
      <c r="E205" s="189"/>
      <c r="F205" s="190"/>
      <c r="G205" s="190"/>
      <c r="H205" s="189"/>
      <c r="I205" s="189"/>
      <c r="J205" s="191"/>
      <c r="K205" s="191"/>
      <c r="L205" s="61">
        <f t="shared" si="16"/>
        <v>0</v>
      </c>
      <c r="M205" s="192"/>
      <c r="N205" s="193"/>
      <c r="O205" s="192"/>
      <c r="P205" s="194"/>
      <c r="Q205" s="195"/>
      <c r="R205" s="196"/>
      <c r="S205" s="197"/>
      <c r="T205" s="62">
        <f t="shared" si="17"/>
        <v>0</v>
      </c>
      <c r="U205" s="63">
        <f t="shared" si="18"/>
        <v>0</v>
      </c>
      <c r="V205" s="145">
        <f t="shared" si="19"/>
        <v>0</v>
      </c>
      <c r="W205" s="198"/>
      <c r="X205" s="1379"/>
      <c r="Y205" s="1380"/>
      <c r="Z205" s="62">
        <f t="shared" si="20"/>
        <v>0</v>
      </c>
      <c r="AA205" s="146">
        <f t="shared" si="21"/>
        <v>0</v>
      </c>
      <c r="AB205" s="198"/>
      <c r="AC205" s="1379"/>
      <c r="AD205" s="1380"/>
      <c r="AE205" s="62">
        <f t="shared" si="22"/>
        <v>0</v>
      </c>
      <c r="AF205" s="148">
        <f t="shared" si="23"/>
        <v>0</v>
      </c>
      <c r="AG205" s="198"/>
      <c r="AH205" s="1379"/>
      <c r="AI205" s="1380"/>
      <c r="AJ205"/>
      <c r="AK205"/>
      <c r="AL205"/>
      <c r="AM205"/>
      <c r="AN205"/>
    </row>
    <row r="206" spans="1:40" s="66" customFormat="1" ht="14.5">
      <c r="A206" s="186"/>
      <c r="B206" s="187"/>
      <c r="C206" s="188"/>
      <c r="D206" s="188"/>
      <c r="E206" s="189"/>
      <c r="F206" s="190"/>
      <c r="G206" s="190"/>
      <c r="H206" s="189"/>
      <c r="I206" s="189"/>
      <c r="J206" s="191"/>
      <c r="K206" s="191"/>
      <c r="L206" s="61">
        <f t="shared" ref="L206:L269" si="24">IF(I206=0,0,(K206+J206)/I206)</f>
        <v>0</v>
      </c>
      <c r="M206" s="192"/>
      <c r="N206" s="193"/>
      <c r="O206" s="192"/>
      <c r="P206" s="194"/>
      <c r="Q206" s="195"/>
      <c r="R206" s="196"/>
      <c r="S206" s="197"/>
      <c r="T206" s="62">
        <f t="shared" ref="T206:T269" si="25">IF(S206=0,0,((S206*Q206)-Z206))</f>
        <v>0</v>
      </c>
      <c r="U206" s="63">
        <f t="shared" ref="U206:U269" si="26">+Q206-I206</f>
        <v>0</v>
      </c>
      <c r="V206" s="145">
        <f t="shared" ref="V206:V269" si="27">(T206-J206)</f>
        <v>0</v>
      </c>
      <c r="W206" s="198"/>
      <c r="X206" s="1379"/>
      <c r="Y206" s="1380"/>
      <c r="Z206" s="62">
        <f t="shared" ref="Z206:Z269" si="28">IF(I206=0,0,M206/H206*Q206)</f>
        <v>0</v>
      </c>
      <c r="AA206" s="146">
        <f t="shared" ref="AA206:AA269" si="29">+Z206-O206</f>
        <v>0</v>
      </c>
      <c r="AB206" s="198"/>
      <c r="AC206" s="1379"/>
      <c r="AD206" s="1380"/>
      <c r="AE206" s="62">
        <f t="shared" ref="AE206:AE269" si="30">IF(H206=0, 0, N206 / H206 * R206)</f>
        <v>0</v>
      </c>
      <c r="AF206" s="148">
        <f t="shared" ref="AF206:AF269" si="31">+AE206-P206</f>
        <v>0</v>
      </c>
      <c r="AG206" s="198"/>
      <c r="AH206" s="1379"/>
      <c r="AI206" s="1380"/>
      <c r="AJ206"/>
      <c r="AK206"/>
      <c r="AL206"/>
      <c r="AM206"/>
      <c r="AN206"/>
    </row>
    <row r="207" spans="1:40" s="66" customFormat="1" ht="14.5">
      <c r="A207" s="186"/>
      <c r="B207" s="187"/>
      <c r="C207" s="188"/>
      <c r="D207" s="188"/>
      <c r="E207" s="189"/>
      <c r="F207" s="190"/>
      <c r="G207" s="190"/>
      <c r="H207" s="189"/>
      <c r="I207" s="189"/>
      <c r="J207" s="191"/>
      <c r="K207" s="191"/>
      <c r="L207" s="61">
        <f t="shared" si="24"/>
        <v>0</v>
      </c>
      <c r="M207" s="192"/>
      <c r="N207" s="193"/>
      <c r="O207" s="192"/>
      <c r="P207" s="194"/>
      <c r="Q207" s="195"/>
      <c r="R207" s="196"/>
      <c r="S207" s="197"/>
      <c r="T207" s="62">
        <f t="shared" si="25"/>
        <v>0</v>
      </c>
      <c r="U207" s="63">
        <f t="shared" si="26"/>
        <v>0</v>
      </c>
      <c r="V207" s="145">
        <f t="shared" si="27"/>
        <v>0</v>
      </c>
      <c r="W207" s="198"/>
      <c r="X207" s="1379"/>
      <c r="Y207" s="1380"/>
      <c r="Z207" s="62">
        <f t="shared" si="28"/>
        <v>0</v>
      </c>
      <c r="AA207" s="146">
        <f t="shared" si="29"/>
        <v>0</v>
      </c>
      <c r="AB207" s="198"/>
      <c r="AC207" s="1379"/>
      <c r="AD207" s="1380"/>
      <c r="AE207" s="62">
        <f t="shared" si="30"/>
        <v>0</v>
      </c>
      <c r="AF207" s="148">
        <f t="shared" si="31"/>
        <v>0</v>
      </c>
      <c r="AG207" s="198"/>
      <c r="AH207" s="1379"/>
      <c r="AI207" s="1380"/>
      <c r="AJ207"/>
      <c r="AK207"/>
      <c r="AL207"/>
      <c r="AM207"/>
      <c r="AN207"/>
    </row>
    <row r="208" spans="1:40" s="66" customFormat="1" ht="14.5">
      <c r="A208" s="186"/>
      <c r="B208" s="187"/>
      <c r="C208" s="188"/>
      <c r="D208" s="188"/>
      <c r="E208" s="189"/>
      <c r="F208" s="190"/>
      <c r="G208" s="190"/>
      <c r="H208" s="189"/>
      <c r="I208" s="189"/>
      <c r="J208" s="191"/>
      <c r="K208" s="191"/>
      <c r="L208" s="61">
        <f t="shared" si="24"/>
        <v>0</v>
      </c>
      <c r="M208" s="192"/>
      <c r="N208" s="193"/>
      <c r="O208" s="192"/>
      <c r="P208" s="194"/>
      <c r="Q208" s="195"/>
      <c r="R208" s="196"/>
      <c r="S208" s="197"/>
      <c r="T208" s="62">
        <f t="shared" si="25"/>
        <v>0</v>
      </c>
      <c r="U208" s="63">
        <f t="shared" si="26"/>
        <v>0</v>
      </c>
      <c r="V208" s="145">
        <f t="shared" si="27"/>
        <v>0</v>
      </c>
      <c r="W208" s="198"/>
      <c r="X208" s="1379"/>
      <c r="Y208" s="1380"/>
      <c r="Z208" s="62">
        <f t="shared" si="28"/>
        <v>0</v>
      </c>
      <c r="AA208" s="146">
        <f t="shared" si="29"/>
        <v>0</v>
      </c>
      <c r="AB208" s="198"/>
      <c r="AC208" s="1379"/>
      <c r="AD208" s="1380"/>
      <c r="AE208" s="62">
        <f t="shared" si="30"/>
        <v>0</v>
      </c>
      <c r="AF208" s="148">
        <f t="shared" si="31"/>
        <v>0</v>
      </c>
      <c r="AG208" s="198"/>
      <c r="AH208" s="1379"/>
      <c r="AI208" s="1380"/>
      <c r="AJ208"/>
      <c r="AK208"/>
      <c r="AL208"/>
      <c r="AM208"/>
      <c r="AN208"/>
    </row>
    <row r="209" spans="1:40" s="66" customFormat="1" ht="14.5">
      <c r="A209" s="186"/>
      <c r="B209" s="187"/>
      <c r="C209" s="188"/>
      <c r="D209" s="188"/>
      <c r="E209" s="189"/>
      <c r="F209" s="190"/>
      <c r="G209" s="190"/>
      <c r="H209" s="189"/>
      <c r="I209" s="189"/>
      <c r="J209" s="191"/>
      <c r="K209" s="191"/>
      <c r="L209" s="61">
        <f t="shared" si="24"/>
        <v>0</v>
      </c>
      <c r="M209" s="192"/>
      <c r="N209" s="193"/>
      <c r="O209" s="192"/>
      <c r="P209" s="194"/>
      <c r="Q209" s="195"/>
      <c r="R209" s="196"/>
      <c r="S209" s="197"/>
      <c r="T209" s="62">
        <f t="shared" si="25"/>
        <v>0</v>
      </c>
      <c r="U209" s="63">
        <f t="shared" si="26"/>
        <v>0</v>
      </c>
      <c r="V209" s="145">
        <f t="shared" si="27"/>
        <v>0</v>
      </c>
      <c r="W209" s="198"/>
      <c r="X209" s="1379"/>
      <c r="Y209" s="1380"/>
      <c r="Z209" s="62">
        <f t="shared" si="28"/>
        <v>0</v>
      </c>
      <c r="AA209" s="146">
        <f t="shared" si="29"/>
        <v>0</v>
      </c>
      <c r="AB209" s="198"/>
      <c r="AC209" s="1379"/>
      <c r="AD209" s="1380"/>
      <c r="AE209" s="62">
        <f t="shared" si="30"/>
        <v>0</v>
      </c>
      <c r="AF209" s="148">
        <f t="shared" si="31"/>
        <v>0</v>
      </c>
      <c r="AG209" s="198"/>
      <c r="AH209" s="1379"/>
      <c r="AI209" s="1380"/>
      <c r="AJ209"/>
      <c r="AK209"/>
      <c r="AL209"/>
      <c r="AM209"/>
      <c r="AN209"/>
    </row>
    <row r="210" spans="1:40" s="66" customFormat="1" ht="14.5">
      <c r="A210" s="186"/>
      <c r="B210" s="187"/>
      <c r="C210" s="188"/>
      <c r="D210" s="188"/>
      <c r="E210" s="189"/>
      <c r="F210" s="190"/>
      <c r="G210" s="190"/>
      <c r="H210" s="189"/>
      <c r="I210" s="189"/>
      <c r="J210" s="191"/>
      <c r="K210" s="191"/>
      <c r="L210" s="61">
        <f t="shared" si="24"/>
        <v>0</v>
      </c>
      <c r="M210" s="192"/>
      <c r="N210" s="193"/>
      <c r="O210" s="192"/>
      <c r="P210" s="194"/>
      <c r="Q210" s="195"/>
      <c r="R210" s="196"/>
      <c r="S210" s="197"/>
      <c r="T210" s="62">
        <f t="shared" si="25"/>
        <v>0</v>
      </c>
      <c r="U210" s="63">
        <f t="shared" si="26"/>
        <v>0</v>
      </c>
      <c r="V210" s="145">
        <f t="shared" si="27"/>
        <v>0</v>
      </c>
      <c r="W210" s="198"/>
      <c r="X210" s="1379"/>
      <c r="Y210" s="1380"/>
      <c r="Z210" s="62">
        <f t="shared" si="28"/>
        <v>0</v>
      </c>
      <c r="AA210" s="146">
        <f t="shared" si="29"/>
        <v>0</v>
      </c>
      <c r="AB210" s="198"/>
      <c r="AC210" s="1379"/>
      <c r="AD210" s="1380"/>
      <c r="AE210" s="62">
        <f t="shared" si="30"/>
        <v>0</v>
      </c>
      <c r="AF210" s="148">
        <f t="shared" si="31"/>
        <v>0</v>
      </c>
      <c r="AG210" s="198"/>
      <c r="AH210" s="1379"/>
      <c r="AI210" s="1380"/>
      <c r="AJ210"/>
      <c r="AK210"/>
      <c r="AL210"/>
      <c r="AM210"/>
      <c r="AN210"/>
    </row>
    <row r="211" spans="1:40" s="66" customFormat="1" ht="14.5">
      <c r="A211" s="186"/>
      <c r="B211" s="187"/>
      <c r="C211" s="188"/>
      <c r="D211" s="188"/>
      <c r="E211" s="189"/>
      <c r="F211" s="190"/>
      <c r="G211" s="190"/>
      <c r="H211" s="189"/>
      <c r="I211" s="189"/>
      <c r="J211" s="191"/>
      <c r="K211" s="191"/>
      <c r="L211" s="61">
        <f t="shared" si="24"/>
        <v>0</v>
      </c>
      <c r="M211" s="192"/>
      <c r="N211" s="193"/>
      <c r="O211" s="192"/>
      <c r="P211" s="194"/>
      <c r="Q211" s="195"/>
      <c r="R211" s="196"/>
      <c r="S211" s="197"/>
      <c r="T211" s="62">
        <f t="shared" si="25"/>
        <v>0</v>
      </c>
      <c r="U211" s="63">
        <f t="shared" si="26"/>
        <v>0</v>
      </c>
      <c r="V211" s="145">
        <f t="shared" si="27"/>
        <v>0</v>
      </c>
      <c r="W211" s="198"/>
      <c r="X211" s="1379"/>
      <c r="Y211" s="1380"/>
      <c r="Z211" s="62">
        <f t="shared" si="28"/>
        <v>0</v>
      </c>
      <c r="AA211" s="146">
        <f t="shared" si="29"/>
        <v>0</v>
      </c>
      <c r="AB211" s="198"/>
      <c r="AC211" s="1379"/>
      <c r="AD211" s="1380"/>
      <c r="AE211" s="62">
        <f t="shared" si="30"/>
        <v>0</v>
      </c>
      <c r="AF211" s="148">
        <f t="shared" si="31"/>
        <v>0</v>
      </c>
      <c r="AG211" s="198"/>
      <c r="AH211" s="1379"/>
      <c r="AI211" s="1380"/>
      <c r="AJ211"/>
      <c r="AK211"/>
      <c r="AL211"/>
      <c r="AM211"/>
      <c r="AN211"/>
    </row>
    <row r="212" spans="1:40" s="66" customFormat="1" ht="14.5">
      <c r="A212" s="186"/>
      <c r="B212" s="187"/>
      <c r="C212" s="188"/>
      <c r="D212" s="188"/>
      <c r="E212" s="189"/>
      <c r="F212" s="190"/>
      <c r="G212" s="190"/>
      <c r="H212" s="189"/>
      <c r="I212" s="189"/>
      <c r="J212" s="191"/>
      <c r="K212" s="191"/>
      <c r="L212" s="61">
        <f t="shared" si="24"/>
        <v>0</v>
      </c>
      <c r="M212" s="192"/>
      <c r="N212" s="193"/>
      <c r="O212" s="192"/>
      <c r="P212" s="194"/>
      <c r="Q212" s="195"/>
      <c r="R212" s="196"/>
      <c r="S212" s="197"/>
      <c r="T212" s="62">
        <f t="shared" si="25"/>
        <v>0</v>
      </c>
      <c r="U212" s="63">
        <f t="shared" si="26"/>
        <v>0</v>
      </c>
      <c r="V212" s="145">
        <f t="shared" si="27"/>
        <v>0</v>
      </c>
      <c r="W212" s="198"/>
      <c r="X212" s="1379"/>
      <c r="Y212" s="1380"/>
      <c r="Z212" s="62">
        <f t="shared" si="28"/>
        <v>0</v>
      </c>
      <c r="AA212" s="146">
        <f t="shared" si="29"/>
        <v>0</v>
      </c>
      <c r="AB212" s="198"/>
      <c r="AC212" s="1379"/>
      <c r="AD212" s="1380"/>
      <c r="AE212" s="62">
        <f t="shared" si="30"/>
        <v>0</v>
      </c>
      <c r="AF212" s="148">
        <f t="shared" si="31"/>
        <v>0</v>
      </c>
      <c r="AG212" s="198"/>
      <c r="AH212" s="1379"/>
      <c r="AI212" s="1380"/>
      <c r="AJ212"/>
      <c r="AK212"/>
      <c r="AL212"/>
      <c r="AM212"/>
      <c r="AN212"/>
    </row>
    <row r="213" spans="1:40" s="66" customFormat="1" ht="14.5">
      <c r="A213" s="186"/>
      <c r="B213" s="187"/>
      <c r="C213" s="188"/>
      <c r="D213" s="188"/>
      <c r="E213" s="189"/>
      <c r="F213" s="190"/>
      <c r="G213" s="190"/>
      <c r="H213" s="189"/>
      <c r="I213" s="189"/>
      <c r="J213" s="191"/>
      <c r="K213" s="191"/>
      <c r="L213" s="61">
        <f t="shared" si="24"/>
        <v>0</v>
      </c>
      <c r="M213" s="192"/>
      <c r="N213" s="193"/>
      <c r="O213" s="192"/>
      <c r="P213" s="194"/>
      <c r="Q213" s="195"/>
      <c r="R213" s="196"/>
      <c r="S213" s="197"/>
      <c r="T213" s="62">
        <f t="shared" si="25"/>
        <v>0</v>
      </c>
      <c r="U213" s="63">
        <f t="shared" si="26"/>
        <v>0</v>
      </c>
      <c r="V213" s="145">
        <f t="shared" si="27"/>
        <v>0</v>
      </c>
      <c r="W213" s="198"/>
      <c r="X213" s="1379"/>
      <c r="Y213" s="1380"/>
      <c r="Z213" s="62">
        <f t="shared" si="28"/>
        <v>0</v>
      </c>
      <c r="AA213" s="146">
        <f t="shared" si="29"/>
        <v>0</v>
      </c>
      <c r="AB213" s="198"/>
      <c r="AC213" s="1379"/>
      <c r="AD213" s="1380"/>
      <c r="AE213" s="62">
        <f t="shared" si="30"/>
        <v>0</v>
      </c>
      <c r="AF213" s="148">
        <f t="shared" si="31"/>
        <v>0</v>
      </c>
      <c r="AG213" s="198"/>
      <c r="AH213" s="1379"/>
      <c r="AI213" s="1380"/>
      <c r="AJ213"/>
      <c r="AK213"/>
      <c r="AL213"/>
      <c r="AM213"/>
      <c r="AN213"/>
    </row>
    <row r="214" spans="1:40" s="66" customFormat="1" ht="14.5">
      <c r="A214" s="186"/>
      <c r="B214" s="187"/>
      <c r="C214" s="188"/>
      <c r="D214" s="188"/>
      <c r="E214" s="189"/>
      <c r="F214" s="190"/>
      <c r="G214" s="190"/>
      <c r="H214" s="189"/>
      <c r="I214" s="189"/>
      <c r="J214" s="191"/>
      <c r="K214" s="191"/>
      <c r="L214" s="61">
        <f t="shared" si="24"/>
        <v>0</v>
      </c>
      <c r="M214" s="192"/>
      <c r="N214" s="193"/>
      <c r="O214" s="192"/>
      <c r="P214" s="194"/>
      <c r="Q214" s="195"/>
      <c r="R214" s="196"/>
      <c r="S214" s="197"/>
      <c r="T214" s="62">
        <f t="shared" si="25"/>
        <v>0</v>
      </c>
      <c r="U214" s="63">
        <f t="shared" si="26"/>
        <v>0</v>
      </c>
      <c r="V214" s="145">
        <f t="shared" si="27"/>
        <v>0</v>
      </c>
      <c r="W214" s="198"/>
      <c r="X214" s="1379"/>
      <c r="Y214" s="1380"/>
      <c r="Z214" s="62">
        <f t="shared" si="28"/>
        <v>0</v>
      </c>
      <c r="AA214" s="146">
        <f t="shared" si="29"/>
        <v>0</v>
      </c>
      <c r="AB214" s="198"/>
      <c r="AC214" s="1379"/>
      <c r="AD214" s="1380"/>
      <c r="AE214" s="62">
        <f t="shared" si="30"/>
        <v>0</v>
      </c>
      <c r="AF214" s="148">
        <f t="shared" si="31"/>
        <v>0</v>
      </c>
      <c r="AG214" s="198"/>
      <c r="AH214" s="1379"/>
      <c r="AI214" s="1380"/>
      <c r="AJ214"/>
      <c r="AK214"/>
      <c r="AL214"/>
      <c r="AM214"/>
      <c r="AN214"/>
    </row>
    <row r="215" spans="1:40" s="66" customFormat="1" ht="14.5">
      <c r="A215" s="186"/>
      <c r="B215" s="187"/>
      <c r="C215" s="188"/>
      <c r="D215" s="188"/>
      <c r="E215" s="189"/>
      <c r="F215" s="190"/>
      <c r="G215" s="190"/>
      <c r="H215" s="189"/>
      <c r="I215" s="189"/>
      <c r="J215" s="191"/>
      <c r="K215" s="191"/>
      <c r="L215" s="61">
        <f t="shared" si="24"/>
        <v>0</v>
      </c>
      <c r="M215" s="192"/>
      <c r="N215" s="193"/>
      <c r="O215" s="192"/>
      <c r="P215" s="194"/>
      <c r="Q215" s="195"/>
      <c r="R215" s="196"/>
      <c r="S215" s="197"/>
      <c r="T215" s="62">
        <f t="shared" si="25"/>
        <v>0</v>
      </c>
      <c r="U215" s="63">
        <f t="shared" si="26"/>
        <v>0</v>
      </c>
      <c r="V215" s="145">
        <f t="shared" si="27"/>
        <v>0</v>
      </c>
      <c r="W215" s="198"/>
      <c r="X215" s="1379"/>
      <c r="Y215" s="1380"/>
      <c r="Z215" s="62">
        <f t="shared" si="28"/>
        <v>0</v>
      </c>
      <c r="AA215" s="146">
        <f t="shared" si="29"/>
        <v>0</v>
      </c>
      <c r="AB215" s="198"/>
      <c r="AC215" s="1379"/>
      <c r="AD215" s="1380"/>
      <c r="AE215" s="62">
        <f t="shared" si="30"/>
        <v>0</v>
      </c>
      <c r="AF215" s="148">
        <f t="shared" si="31"/>
        <v>0</v>
      </c>
      <c r="AG215" s="198"/>
      <c r="AH215" s="1379"/>
      <c r="AI215" s="1380"/>
      <c r="AJ215"/>
      <c r="AK215"/>
      <c r="AL215"/>
      <c r="AM215"/>
      <c r="AN215"/>
    </row>
    <row r="216" spans="1:40" s="66" customFormat="1" ht="14.5">
      <c r="A216" s="186"/>
      <c r="B216" s="187"/>
      <c r="C216" s="188"/>
      <c r="D216" s="188"/>
      <c r="E216" s="189"/>
      <c r="F216" s="190"/>
      <c r="G216" s="190"/>
      <c r="H216" s="189"/>
      <c r="I216" s="189"/>
      <c r="J216" s="191"/>
      <c r="K216" s="191"/>
      <c r="L216" s="61">
        <f t="shared" si="24"/>
        <v>0</v>
      </c>
      <c r="M216" s="192"/>
      <c r="N216" s="193"/>
      <c r="O216" s="192"/>
      <c r="P216" s="194"/>
      <c r="Q216" s="195"/>
      <c r="R216" s="196"/>
      <c r="S216" s="197"/>
      <c r="T216" s="62">
        <f t="shared" si="25"/>
        <v>0</v>
      </c>
      <c r="U216" s="63">
        <f t="shared" si="26"/>
        <v>0</v>
      </c>
      <c r="V216" s="145">
        <f t="shared" si="27"/>
        <v>0</v>
      </c>
      <c r="W216" s="198"/>
      <c r="X216" s="1379"/>
      <c r="Y216" s="1380"/>
      <c r="Z216" s="62">
        <f t="shared" si="28"/>
        <v>0</v>
      </c>
      <c r="AA216" s="146">
        <f t="shared" si="29"/>
        <v>0</v>
      </c>
      <c r="AB216" s="198"/>
      <c r="AC216" s="1379"/>
      <c r="AD216" s="1380"/>
      <c r="AE216" s="62">
        <f t="shared" si="30"/>
        <v>0</v>
      </c>
      <c r="AF216" s="148">
        <f t="shared" si="31"/>
        <v>0</v>
      </c>
      <c r="AG216" s="198"/>
      <c r="AH216" s="1379"/>
      <c r="AI216" s="1380"/>
      <c r="AJ216"/>
      <c r="AK216"/>
      <c r="AL216"/>
      <c r="AM216"/>
      <c r="AN216"/>
    </row>
    <row r="217" spans="1:40" s="66" customFormat="1" ht="14.5">
      <c r="A217" s="186"/>
      <c r="B217" s="187"/>
      <c r="C217" s="188"/>
      <c r="D217" s="188"/>
      <c r="E217" s="189"/>
      <c r="F217" s="190"/>
      <c r="G217" s="190"/>
      <c r="H217" s="189"/>
      <c r="I217" s="189"/>
      <c r="J217" s="191"/>
      <c r="K217" s="191"/>
      <c r="L217" s="61">
        <f t="shared" si="24"/>
        <v>0</v>
      </c>
      <c r="M217" s="192"/>
      <c r="N217" s="193"/>
      <c r="O217" s="192"/>
      <c r="P217" s="194"/>
      <c r="Q217" s="195"/>
      <c r="R217" s="196"/>
      <c r="S217" s="197"/>
      <c r="T217" s="62">
        <f t="shared" si="25"/>
        <v>0</v>
      </c>
      <c r="U217" s="63">
        <f t="shared" si="26"/>
        <v>0</v>
      </c>
      <c r="V217" s="145">
        <f t="shared" si="27"/>
        <v>0</v>
      </c>
      <c r="W217" s="198"/>
      <c r="X217" s="1379"/>
      <c r="Y217" s="1380"/>
      <c r="Z217" s="62">
        <f t="shared" si="28"/>
        <v>0</v>
      </c>
      <c r="AA217" s="146">
        <f t="shared" si="29"/>
        <v>0</v>
      </c>
      <c r="AB217" s="198"/>
      <c r="AC217" s="1379"/>
      <c r="AD217" s="1380"/>
      <c r="AE217" s="62">
        <f t="shared" si="30"/>
        <v>0</v>
      </c>
      <c r="AF217" s="148">
        <f t="shared" si="31"/>
        <v>0</v>
      </c>
      <c r="AG217" s="198"/>
      <c r="AH217" s="1379"/>
      <c r="AI217" s="1380"/>
      <c r="AJ217"/>
      <c r="AK217"/>
      <c r="AL217"/>
      <c r="AM217"/>
      <c r="AN217"/>
    </row>
    <row r="218" spans="1:40" s="66" customFormat="1" ht="14.5">
      <c r="A218" s="186"/>
      <c r="B218" s="187"/>
      <c r="C218" s="188"/>
      <c r="D218" s="188"/>
      <c r="E218" s="189"/>
      <c r="F218" s="190"/>
      <c r="G218" s="190"/>
      <c r="H218" s="189"/>
      <c r="I218" s="189"/>
      <c r="J218" s="191"/>
      <c r="K218" s="191"/>
      <c r="L218" s="61">
        <f t="shared" si="24"/>
        <v>0</v>
      </c>
      <c r="M218" s="192"/>
      <c r="N218" s="193"/>
      <c r="O218" s="192"/>
      <c r="P218" s="194"/>
      <c r="Q218" s="195"/>
      <c r="R218" s="196"/>
      <c r="S218" s="197"/>
      <c r="T218" s="62">
        <f t="shared" si="25"/>
        <v>0</v>
      </c>
      <c r="U218" s="63">
        <f t="shared" si="26"/>
        <v>0</v>
      </c>
      <c r="V218" s="145">
        <f t="shared" si="27"/>
        <v>0</v>
      </c>
      <c r="W218" s="198"/>
      <c r="X218" s="1379"/>
      <c r="Y218" s="1380"/>
      <c r="Z218" s="62">
        <f t="shared" si="28"/>
        <v>0</v>
      </c>
      <c r="AA218" s="146">
        <f t="shared" si="29"/>
        <v>0</v>
      </c>
      <c r="AB218" s="198"/>
      <c r="AC218" s="1379"/>
      <c r="AD218" s="1380"/>
      <c r="AE218" s="62">
        <f t="shared" si="30"/>
        <v>0</v>
      </c>
      <c r="AF218" s="148">
        <f t="shared" si="31"/>
        <v>0</v>
      </c>
      <c r="AG218" s="198"/>
      <c r="AH218" s="1379"/>
      <c r="AI218" s="1380"/>
      <c r="AJ218"/>
      <c r="AK218"/>
      <c r="AL218"/>
      <c r="AM218"/>
      <c r="AN218"/>
    </row>
    <row r="219" spans="1:40" s="66" customFormat="1" ht="14.5">
      <c r="A219" s="186"/>
      <c r="B219" s="187"/>
      <c r="C219" s="188"/>
      <c r="D219" s="188"/>
      <c r="E219" s="189"/>
      <c r="F219" s="190"/>
      <c r="G219" s="190"/>
      <c r="H219" s="189"/>
      <c r="I219" s="189"/>
      <c r="J219" s="191"/>
      <c r="K219" s="191"/>
      <c r="L219" s="61">
        <f t="shared" si="24"/>
        <v>0</v>
      </c>
      <c r="M219" s="192"/>
      <c r="N219" s="193"/>
      <c r="O219" s="192"/>
      <c r="P219" s="194"/>
      <c r="Q219" s="195"/>
      <c r="R219" s="196"/>
      <c r="S219" s="197"/>
      <c r="T219" s="62">
        <f t="shared" si="25"/>
        <v>0</v>
      </c>
      <c r="U219" s="63">
        <f t="shared" si="26"/>
        <v>0</v>
      </c>
      <c r="V219" s="145">
        <f t="shared" si="27"/>
        <v>0</v>
      </c>
      <c r="W219" s="198"/>
      <c r="X219" s="1379"/>
      <c r="Y219" s="1380"/>
      <c r="Z219" s="62">
        <f t="shared" si="28"/>
        <v>0</v>
      </c>
      <c r="AA219" s="146">
        <f t="shared" si="29"/>
        <v>0</v>
      </c>
      <c r="AB219" s="198"/>
      <c r="AC219" s="1379"/>
      <c r="AD219" s="1380"/>
      <c r="AE219" s="62">
        <f t="shared" si="30"/>
        <v>0</v>
      </c>
      <c r="AF219" s="148">
        <f t="shared" si="31"/>
        <v>0</v>
      </c>
      <c r="AG219" s="198"/>
      <c r="AH219" s="1379"/>
      <c r="AI219" s="1380"/>
      <c r="AJ219"/>
      <c r="AK219"/>
      <c r="AL219"/>
      <c r="AM219"/>
      <c r="AN219"/>
    </row>
    <row r="220" spans="1:40" s="66" customFormat="1" ht="14.5">
      <c r="A220" s="186"/>
      <c r="B220" s="187"/>
      <c r="C220" s="188"/>
      <c r="D220" s="188"/>
      <c r="E220" s="189"/>
      <c r="F220" s="190"/>
      <c r="G220" s="190"/>
      <c r="H220" s="189"/>
      <c r="I220" s="189"/>
      <c r="J220" s="191"/>
      <c r="K220" s="191"/>
      <c r="L220" s="61">
        <f t="shared" si="24"/>
        <v>0</v>
      </c>
      <c r="M220" s="192"/>
      <c r="N220" s="193"/>
      <c r="O220" s="192"/>
      <c r="P220" s="194"/>
      <c r="Q220" s="195"/>
      <c r="R220" s="196"/>
      <c r="S220" s="197"/>
      <c r="T220" s="62">
        <f t="shared" si="25"/>
        <v>0</v>
      </c>
      <c r="U220" s="63">
        <f t="shared" si="26"/>
        <v>0</v>
      </c>
      <c r="V220" s="145">
        <f t="shared" si="27"/>
        <v>0</v>
      </c>
      <c r="W220" s="198"/>
      <c r="X220" s="1379"/>
      <c r="Y220" s="1380"/>
      <c r="Z220" s="62">
        <f t="shared" si="28"/>
        <v>0</v>
      </c>
      <c r="AA220" s="146">
        <f t="shared" si="29"/>
        <v>0</v>
      </c>
      <c r="AB220" s="198"/>
      <c r="AC220" s="1379"/>
      <c r="AD220" s="1380"/>
      <c r="AE220" s="62">
        <f t="shared" si="30"/>
        <v>0</v>
      </c>
      <c r="AF220" s="148">
        <f t="shared" si="31"/>
        <v>0</v>
      </c>
      <c r="AG220" s="198"/>
      <c r="AH220" s="1379"/>
      <c r="AI220" s="1380"/>
      <c r="AJ220"/>
      <c r="AK220"/>
      <c r="AL220"/>
      <c r="AM220"/>
      <c r="AN220"/>
    </row>
    <row r="221" spans="1:40" s="66" customFormat="1" ht="14.5">
      <c r="A221" s="186"/>
      <c r="B221" s="187"/>
      <c r="C221" s="188"/>
      <c r="D221" s="188"/>
      <c r="E221" s="189"/>
      <c r="F221" s="190"/>
      <c r="G221" s="190"/>
      <c r="H221" s="189"/>
      <c r="I221" s="189"/>
      <c r="J221" s="191"/>
      <c r="K221" s="191"/>
      <c r="L221" s="61">
        <f t="shared" si="24"/>
        <v>0</v>
      </c>
      <c r="M221" s="192"/>
      <c r="N221" s="193"/>
      <c r="O221" s="192"/>
      <c r="P221" s="194"/>
      <c r="Q221" s="195"/>
      <c r="R221" s="196"/>
      <c r="S221" s="197"/>
      <c r="T221" s="62">
        <f t="shared" si="25"/>
        <v>0</v>
      </c>
      <c r="U221" s="63">
        <f t="shared" si="26"/>
        <v>0</v>
      </c>
      <c r="V221" s="145">
        <f t="shared" si="27"/>
        <v>0</v>
      </c>
      <c r="W221" s="198"/>
      <c r="X221" s="1379"/>
      <c r="Y221" s="1380"/>
      <c r="Z221" s="62">
        <f t="shared" si="28"/>
        <v>0</v>
      </c>
      <c r="AA221" s="146">
        <f t="shared" si="29"/>
        <v>0</v>
      </c>
      <c r="AB221" s="198"/>
      <c r="AC221" s="1379"/>
      <c r="AD221" s="1380"/>
      <c r="AE221" s="62">
        <f t="shared" si="30"/>
        <v>0</v>
      </c>
      <c r="AF221" s="148">
        <f t="shared" si="31"/>
        <v>0</v>
      </c>
      <c r="AG221" s="198"/>
      <c r="AH221" s="1379"/>
      <c r="AI221" s="1380"/>
      <c r="AJ221"/>
      <c r="AK221"/>
      <c r="AL221"/>
      <c r="AM221"/>
      <c r="AN221"/>
    </row>
    <row r="222" spans="1:40" s="66" customFormat="1" ht="14.5">
      <c r="A222" s="186"/>
      <c r="B222" s="187"/>
      <c r="C222" s="188"/>
      <c r="D222" s="188"/>
      <c r="E222" s="189"/>
      <c r="F222" s="190"/>
      <c r="G222" s="190"/>
      <c r="H222" s="189"/>
      <c r="I222" s="189"/>
      <c r="J222" s="191"/>
      <c r="K222" s="191"/>
      <c r="L222" s="61">
        <f t="shared" si="24"/>
        <v>0</v>
      </c>
      <c r="M222" s="192"/>
      <c r="N222" s="193"/>
      <c r="O222" s="192"/>
      <c r="P222" s="194"/>
      <c r="Q222" s="195"/>
      <c r="R222" s="196"/>
      <c r="S222" s="197"/>
      <c r="T222" s="62">
        <f t="shared" si="25"/>
        <v>0</v>
      </c>
      <c r="U222" s="63">
        <f t="shared" si="26"/>
        <v>0</v>
      </c>
      <c r="V222" s="145">
        <f t="shared" si="27"/>
        <v>0</v>
      </c>
      <c r="W222" s="198"/>
      <c r="X222" s="1379"/>
      <c r="Y222" s="1380"/>
      <c r="Z222" s="62">
        <f t="shared" si="28"/>
        <v>0</v>
      </c>
      <c r="AA222" s="146">
        <f t="shared" si="29"/>
        <v>0</v>
      </c>
      <c r="AB222" s="198"/>
      <c r="AC222" s="1379"/>
      <c r="AD222" s="1380"/>
      <c r="AE222" s="62">
        <f t="shared" si="30"/>
        <v>0</v>
      </c>
      <c r="AF222" s="148">
        <f t="shared" si="31"/>
        <v>0</v>
      </c>
      <c r="AG222" s="198"/>
      <c r="AH222" s="1379"/>
      <c r="AI222" s="1380"/>
      <c r="AJ222"/>
      <c r="AK222"/>
      <c r="AL222"/>
      <c r="AM222"/>
      <c r="AN222"/>
    </row>
    <row r="223" spans="1:40" s="66" customFormat="1" ht="14.5">
      <c r="A223" s="186"/>
      <c r="B223" s="187"/>
      <c r="C223" s="188"/>
      <c r="D223" s="188"/>
      <c r="E223" s="189"/>
      <c r="F223" s="190"/>
      <c r="G223" s="190"/>
      <c r="H223" s="189"/>
      <c r="I223" s="189"/>
      <c r="J223" s="191"/>
      <c r="K223" s="191"/>
      <c r="L223" s="61">
        <f t="shared" si="24"/>
        <v>0</v>
      </c>
      <c r="M223" s="192"/>
      <c r="N223" s="193"/>
      <c r="O223" s="192"/>
      <c r="P223" s="194"/>
      <c r="Q223" s="195"/>
      <c r="R223" s="196"/>
      <c r="S223" s="197"/>
      <c r="T223" s="62">
        <f t="shared" si="25"/>
        <v>0</v>
      </c>
      <c r="U223" s="63">
        <f t="shared" si="26"/>
        <v>0</v>
      </c>
      <c r="V223" s="145">
        <f t="shared" si="27"/>
        <v>0</v>
      </c>
      <c r="W223" s="198"/>
      <c r="X223" s="1379"/>
      <c r="Y223" s="1380"/>
      <c r="Z223" s="62">
        <f t="shared" si="28"/>
        <v>0</v>
      </c>
      <c r="AA223" s="146">
        <f t="shared" si="29"/>
        <v>0</v>
      </c>
      <c r="AB223" s="198"/>
      <c r="AC223" s="1379"/>
      <c r="AD223" s="1380"/>
      <c r="AE223" s="62">
        <f t="shared" si="30"/>
        <v>0</v>
      </c>
      <c r="AF223" s="148">
        <f t="shared" si="31"/>
        <v>0</v>
      </c>
      <c r="AG223" s="198"/>
      <c r="AH223" s="1379"/>
      <c r="AI223" s="1380"/>
      <c r="AJ223"/>
      <c r="AK223"/>
      <c r="AL223"/>
      <c r="AM223"/>
      <c r="AN223"/>
    </row>
    <row r="224" spans="1:40" s="66" customFormat="1" ht="14.5">
      <c r="A224" s="186"/>
      <c r="B224" s="187"/>
      <c r="C224" s="188"/>
      <c r="D224" s="188"/>
      <c r="E224" s="189"/>
      <c r="F224" s="190"/>
      <c r="G224" s="190"/>
      <c r="H224" s="189"/>
      <c r="I224" s="189"/>
      <c r="J224" s="191"/>
      <c r="K224" s="191"/>
      <c r="L224" s="61">
        <f t="shared" si="24"/>
        <v>0</v>
      </c>
      <c r="M224" s="192"/>
      <c r="N224" s="193"/>
      <c r="O224" s="192"/>
      <c r="P224" s="194"/>
      <c r="Q224" s="195"/>
      <c r="R224" s="196"/>
      <c r="S224" s="197"/>
      <c r="T224" s="62">
        <f t="shared" si="25"/>
        <v>0</v>
      </c>
      <c r="U224" s="63">
        <f t="shared" si="26"/>
        <v>0</v>
      </c>
      <c r="V224" s="145">
        <f t="shared" si="27"/>
        <v>0</v>
      </c>
      <c r="W224" s="198"/>
      <c r="X224" s="1379"/>
      <c r="Y224" s="1380"/>
      <c r="Z224" s="62">
        <f t="shared" si="28"/>
        <v>0</v>
      </c>
      <c r="AA224" s="146">
        <f t="shared" si="29"/>
        <v>0</v>
      </c>
      <c r="AB224" s="198"/>
      <c r="AC224" s="1379"/>
      <c r="AD224" s="1380"/>
      <c r="AE224" s="62">
        <f t="shared" si="30"/>
        <v>0</v>
      </c>
      <c r="AF224" s="148">
        <f t="shared" si="31"/>
        <v>0</v>
      </c>
      <c r="AG224" s="198"/>
      <c r="AH224" s="1379"/>
      <c r="AI224" s="1380"/>
      <c r="AJ224"/>
      <c r="AK224"/>
      <c r="AL224"/>
      <c r="AM224"/>
      <c r="AN224"/>
    </row>
    <row r="225" spans="1:40" s="66" customFormat="1" ht="14.5">
      <c r="A225" s="186"/>
      <c r="B225" s="187"/>
      <c r="C225" s="188"/>
      <c r="D225" s="188"/>
      <c r="E225" s="189"/>
      <c r="F225" s="190"/>
      <c r="G225" s="190"/>
      <c r="H225" s="189"/>
      <c r="I225" s="189"/>
      <c r="J225" s="191"/>
      <c r="K225" s="191"/>
      <c r="L225" s="61">
        <f t="shared" si="24"/>
        <v>0</v>
      </c>
      <c r="M225" s="192"/>
      <c r="N225" s="193"/>
      <c r="O225" s="192"/>
      <c r="P225" s="194"/>
      <c r="Q225" s="195"/>
      <c r="R225" s="196"/>
      <c r="S225" s="197"/>
      <c r="T225" s="62">
        <f t="shared" si="25"/>
        <v>0</v>
      </c>
      <c r="U225" s="63">
        <f t="shared" si="26"/>
        <v>0</v>
      </c>
      <c r="V225" s="145">
        <f t="shared" si="27"/>
        <v>0</v>
      </c>
      <c r="W225" s="198"/>
      <c r="X225" s="1379"/>
      <c r="Y225" s="1380"/>
      <c r="Z225" s="62">
        <f t="shared" si="28"/>
        <v>0</v>
      </c>
      <c r="AA225" s="146">
        <f t="shared" si="29"/>
        <v>0</v>
      </c>
      <c r="AB225" s="198"/>
      <c r="AC225" s="1379"/>
      <c r="AD225" s="1380"/>
      <c r="AE225" s="62">
        <f t="shared" si="30"/>
        <v>0</v>
      </c>
      <c r="AF225" s="148">
        <f t="shared" si="31"/>
        <v>0</v>
      </c>
      <c r="AG225" s="198"/>
      <c r="AH225" s="1379"/>
      <c r="AI225" s="1380"/>
      <c r="AJ225"/>
      <c r="AK225"/>
      <c r="AL225"/>
      <c r="AM225"/>
      <c r="AN225"/>
    </row>
    <row r="226" spans="1:40" s="66" customFormat="1" ht="14.5">
      <c r="A226" s="186"/>
      <c r="B226" s="187"/>
      <c r="C226" s="188"/>
      <c r="D226" s="188"/>
      <c r="E226" s="189"/>
      <c r="F226" s="190"/>
      <c r="G226" s="190"/>
      <c r="H226" s="189"/>
      <c r="I226" s="189"/>
      <c r="J226" s="191"/>
      <c r="K226" s="191"/>
      <c r="L226" s="61">
        <f t="shared" si="24"/>
        <v>0</v>
      </c>
      <c r="M226" s="192"/>
      <c r="N226" s="193"/>
      <c r="O226" s="192"/>
      <c r="P226" s="194"/>
      <c r="Q226" s="195"/>
      <c r="R226" s="196"/>
      <c r="S226" s="197"/>
      <c r="T226" s="62">
        <f t="shared" si="25"/>
        <v>0</v>
      </c>
      <c r="U226" s="63">
        <f t="shared" si="26"/>
        <v>0</v>
      </c>
      <c r="V226" s="145">
        <f t="shared" si="27"/>
        <v>0</v>
      </c>
      <c r="W226" s="198"/>
      <c r="X226" s="1379"/>
      <c r="Y226" s="1380"/>
      <c r="Z226" s="62">
        <f t="shared" si="28"/>
        <v>0</v>
      </c>
      <c r="AA226" s="146">
        <f t="shared" si="29"/>
        <v>0</v>
      </c>
      <c r="AB226" s="198"/>
      <c r="AC226" s="1379"/>
      <c r="AD226" s="1380"/>
      <c r="AE226" s="62">
        <f t="shared" si="30"/>
        <v>0</v>
      </c>
      <c r="AF226" s="148">
        <f t="shared" si="31"/>
        <v>0</v>
      </c>
      <c r="AG226" s="198"/>
      <c r="AH226" s="1379"/>
      <c r="AI226" s="1380"/>
      <c r="AJ226"/>
      <c r="AK226"/>
      <c r="AL226"/>
      <c r="AM226"/>
      <c r="AN226"/>
    </row>
    <row r="227" spans="1:40" s="66" customFormat="1" ht="14.5">
      <c r="A227" s="186"/>
      <c r="B227" s="187"/>
      <c r="C227" s="188"/>
      <c r="D227" s="188"/>
      <c r="E227" s="189"/>
      <c r="F227" s="190"/>
      <c r="G227" s="190"/>
      <c r="H227" s="189"/>
      <c r="I227" s="189"/>
      <c r="J227" s="191"/>
      <c r="K227" s="191"/>
      <c r="L227" s="61">
        <f t="shared" si="24"/>
        <v>0</v>
      </c>
      <c r="M227" s="192"/>
      <c r="N227" s="193"/>
      <c r="O227" s="192"/>
      <c r="P227" s="194"/>
      <c r="Q227" s="195"/>
      <c r="R227" s="196"/>
      <c r="S227" s="197"/>
      <c r="T227" s="62">
        <f t="shared" si="25"/>
        <v>0</v>
      </c>
      <c r="U227" s="63">
        <f t="shared" si="26"/>
        <v>0</v>
      </c>
      <c r="V227" s="145">
        <f t="shared" si="27"/>
        <v>0</v>
      </c>
      <c r="W227" s="198"/>
      <c r="X227" s="1379"/>
      <c r="Y227" s="1380"/>
      <c r="Z227" s="62">
        <f t="shared" si="28"/>
        <v>0</v>
      </c>
      <c r="AA227" s="146">
        <f t="shared" si="29"/>
        <v>0</v>
      </c>
      <c r="AB227" s="198"/>
      <c r="AC227" s="1379"/>
      <c r="AD227" s="1380"/>
      <c r="AE227" s="62">
        <f t="shared" si="30"/>
        <v>0</v>
      </c>
      <c r="AF227" s="148">
        <f t="shared" si="31"/>
        <v>0</v>
      </c>
      <c r="AG227" s="198"/>
      <c r="AH227" s="1379"/>
      <c r="AI227" s="1380"/>
      <c r="AJ227"/>
      <c r="AK227"/>
      <c r="AL227"/>
      <c r="AM227"/>
      <c r="AN227"/>
    </row>
    <row r="228" spans="1:40" s="66" customFormat="1" ht="14.5">
      <c r="A228" s="186"/>
      <c r="B228" s="187"/>
      <c r="C228" s="188"/>
      <c r="D228" s="188"/>
      <c r="E228" s="189"/>
      <c r="F228" s="190"/>
      <c r="G228" s="190"/>
      <c r="H228" s="189"/>
      <c r="I228" s="189"/>
      <c r="J228" s="191"/>
      <c r="K228" s="191"/>
      <c r="L228" s="61">
        <f t="shared" si="24"/>
        <v>0</v>
      </c>
      <c r="M228" s="192"/>
      <c r="N228" s="193"/>
      <c r="O228" s="192"/>
      <c r="P228" s="194"/>
      <c r="Q228" s="195"/>
      <c r="R228" s="196"/>
      <c r="S228" s="197"/>
      <c r="T228" s="62">
        <f t="shared" si="25"/>
        <v>0</v>
      </c>
      <c r="U228" s="63">
        <f t="shared" si="26"/>
        <v>0</v>
      </c>
      <c r="V228" s="145">
        <f t="shared" si="27"/>
        <v>0</v>
      </c>
      <c r="W228" s="198"/>
      <c r="X228" s="1379"/>
      <c r="Y228" s="1380"/>
      <c r="Z228" s="62">
        <f t="shared" si="28"/>
        <v>0</v>
      </c>
      <c r="AA228" s="146">
        <f t="shared" si="29"/>
        <v>0</v>
      </c>
      <c r="AB228" s="198"/>
      <c r="AC228" s="1379"/>
      <c r="AD228" s="1380"/>
      <c r="AE228" s="62">
        <f t="shared" si="30"/>
        <v>0</v>
      </c>
      <c r="AF228" s="148">
        <f t="shared" si="31"/>
        <v>0</v>
      </c>
      <c r="AG228" s="198"/>
      <c r="AH228" s="1379"/>
      <c r="AI228" s="1380"/>
      <c r="AJ228"/>
      <c r="AK228"/>
      <c r="AL228"/>
      <c r="AM228"/>
      <c r="AN228"/>
    </row>
    <row r="229" spans="1:40" s="66" customFormat="1" ht="14.5">
      <c r="A229" s="186"/>
      <c r="B229" s="187"/>
      <c r="C229" s="188"/>
      <c r="D229" s="188"/>
      <c r="E229" s="189"/>
      <c r="F229" s="190"/>
      <c r="G229" s="190"/>
      <c r="H229" s="189"/>
      <c r="I229" s="189"/>
      <c r="J229" s="191"/>
      <c r="K229" s="191"/>
      <c r="L229" s="61">
        <f t="shared" si="24"/>
        <v>0</v>
      </c>
      <c r="M229" s="192"/>
      <c r="N229" s="193"/>
      <c r="O229" s="192"/>
      <c r="P229" s="194"/>
      <c r="Q229" s="195"/>
      <c r="R229" s="196"/>
      <c r="S229" s="197"/>
      <c r="T229" s="62">
        <f t="shared" si="25"/>
        <v>0</v>
      </c>
      <c r="U229" s="63">
        <f t="shared" si="26"/>
        <v>0</v>
      </c>
      <c r="V229" s="145">
        <f t="shared" si="27"/>
        <v>0</v>
      </c>
      <c r="W229" s="198"/>
      <c r="X229" s="1379"/>
      <c r="Y229" s="1380"/>
      <c r="Z229" s="62">
        <f t="shared" si="28"/>
        <v>0</v>
      </c>
      <c r="AA229" s="146">
        <f t="shared" si="29"/>
        <v>0</v>
      </c>
      <c r="AB229" s="198"/>
      <c r="AC229" s="1379"/>
      <c r="AD229" s="1380"/>
      <c r="AE229" s="62">
        <f t="shared" si="30"/>
        <v>0</v>
      </c>
      <c r="AF229" s="148">
        <f t="shared" si="31"/>
        <v>0</v>
      </c>
      <c r="AG229" s="198"/>
      <c r="AH229" s="1379"/>
      <c r="AI229" s="1380"/>
      <c r="AJ229"/>
      <c r="AK229"/>
      <c r="AL229"/>
      <c r="AM229"/>
      <c r="AN229"/>
    </row>
    <row r="230" spans="1:40" s="66" customFormat="1" ht="14.5">
      <c r="A230" s="186"/>
      <c r="B230" s="187"/>
      <c r="C230" s="188"/>
      <c r="D230" s="188"/>
      <c r="E230" s="189"/>
      <c r="F230" s="190"/>
      <c r="G230" s="190"/>
      <c r="H230" s="189"/>
      <c r="I230" s="189"/>
      <c r="J230" s="191"/>
      <c r="K230" s="191"/>
      <c r="L230" s="61">
        <f t="shared" si="24"/>
        <v>0</v>
      </c>
      <c r="M230" s="192"/>
      <c r="N230" s="193"/>
      <c r="O230" s="192"/>
      <c r="P230" s="194"/>
      <c r="Q230" s="195"/>
      <c r="R230" s="196"/>
      <c r="S230" s="197"/>
      <c r="T230" s="62">
        <f t="shared" si="25"/>
        <v>0</v>
      </c>
      <c r="U230" s="63">
        <f t="shared" si="26"/>
        <v>0</v>
      </c>
      <c r="V230" s="145">
        <f t="shared" si="27"/>
        <v>0</v>
      </c>
      <c r="W230" s="198"/>
      <c r="X230" s="1379"/>
      <c r="Y230" s="1380"/>
      <c r="Z230" s="62">
        <f t="shared" si="28"/>
        <v>0</v>
      </c>
      <c r="AA230" s="146">
        <f t="shared" si="29"/>
        <v>0</v>
      </c>
      <c r="AB230" s="198"/>
      <c r="AC230" s="1379"/>
      <c r="AD230" s="1380"/>
      <c r="AE230" s="62">
        <f t="shared" si="30"/>
        <v>0</v>
      </c>
      <c r="AF230" s="148">
        <f t="shared" si="31"/>
        <v>0</v>
      </c>
      <c r="AG230" s="198"/>
      <c r="AH230" s="1379"/>
      <c r="AI230" s="1380"/>
      <c r="AJ230"/>
      <c r="AK230"/>
      <c r="AL230"/>
      <c r="AM230"/>
      <c r="AN230"/>
    </row>
    <row r="231" spans="1:40" s="66" customFormat="1" ht="14.5">
      <c r="A231" s="186"/>
      <c r="B231" s="187"/>
      <c r="C231" s="188"/>
      <c r="D231" s="188"/>
      <c r="E231" s="189"/>
      <c r="F231" s="190"/>
      <c r="G231" s="190"/>
      <c r="H231" s="189"/>
      <c r="I231" s="189"/>
      <c r="J231" s="191"/>
      <c r="K231" s="191"/>
      <c r="L231" s="61">
        <f t="shared" si="24"/>
        <v>0</v>
      </c>
      <c r="M231" s="192"/>
      <c r="N231" s="193"/>
      <c r="O231" s="192"/>
      <c r="P231" s="194"/>
      <c r="Q231" s="195"/>
      <c r="R231" s="196"/>
      <c r="S231" s="197"/>
      <c r="T231" s="62">
        <f t="shared" si="25"/>
        <v>0</v>
      </c>
      <c r="U231" s="63">
        <f t="shared" si="26"/>
        <v>0</v>
      </c>
      <c r="V231" s="145">
        <f t="shared" si="27"/>
        <v>0</v>
      </c>
      <c r="W231" s="198"/>
      <c r="X231" s="1379"/>
      <c r="Y231" s="1380"/>
      <c r="Z231" s="62">
        <f t="shared" si="28"/>
        <v>0</v>
      </c>
      <c r="AA231" s="146">
        <f t="shared" si="29"/>
        <v>0</v>
      </c>
      <c r="AB231" s="198"/>
      <c r="AC231" s="1379"/>
      <c r="AD231" s="1380"/>
      <c r="AE231" s="62">
        <f t="shared" si="30"/>
        <v>0</v>
      </c>
      <c r="AF231" s="148">
        <f t="shared" si="31"/>
        <v>0</v>
      </c>
      <c r="AG231" s="198"/>
      <c r="AH231" s="1379"/>
      <c r="AI231" s="1380"/>
      <c r="AJ231"/>
      <c r="AK231"/>
      <c r="AL231"/>
      <c r="AM231"/>
      <c r="AN231"/>
    </row>
    <row r="232" spans="1:40" s="66" customFormat="1" ht="14.5">
      <c r="A232" s="186"/>
      <c r="B232" s="187"/>
      <c r="C232" s="188"/>
      <c r="D232" s="188"/>
      <c r="E232" s="189"/>
      <c r="F232" s="190"/>
      <c r="G232" s="190"/>
      <c r="H232" s="189"/>
      <c r="I232" s="189"/>
      <c r="J232" s="191"/>
      <c r="K232" s="191"/>
      <c r="L232" s="61">
        <f t="shared" si="24"/>
        <v>0</v>
      </c>
      <c r="M232" s="192"/>
      <c r="N232" s="193"/>
      <c r="O232" s="192"/>
      <c r="P232" s="194"/>
      <c r="Q232" s="195"/>
      <c r="R232" s="196"/>
      <c r="S232" s="197"/>
      <c r="T232" s="62">
        <f t="shared" si="25"/>
        <v>0</v>
      </c>
      <c r="U232" s="63">
        <f t="shared" si="26"/>
        <v>0</v>
      </c>
      <c r="V232" s="145">
        <f t="shared" si="27"/>
        <v>0</v>
      </c>
      <c r="W232" s="198"/>
      <c r="X232" s="1379"/>
      <c r="Y232" s="1380"/>
      <c r="Z232" s="62">
        <f t="shared" si="28"/>
        <v>0</v>
      </c>
      <c r="AA232" s="146">
        <f t="shared" si="29"/>
        <v>0</v>
      </c>
      <c r="AB232" s="198"/>
      <c r="AC232" s="1379"/>
      <c r="AD232" s="1380"/>
      <c r="AE232" s="62">
        <f t="shared" si="30"/>
        <v>0</v>
      </c>
      <c r="AF232" s="148">
        <f t="shared" si="31"/>
        <v>0</v>
      </c>
      <c r="AG232" s="198"/>
      <c r="AH232" s="1379"/>
      <c r="AI232" s="1380"/>
      <c r="AJ232"/>
      <c r="AK232"/>
      <c r="AL232"/>
      <c r="AM232"/>
      <c r="AN232"/>
    </row>
    <row r="233" spans="1:40" s="66" customFormat="1" ht="14.5">
      <c r="A233" s="186"/>
      <c r="B233" s="187"/>
      <c r="C233" s="188"/>
      <c r="D233" s="188"/>
      <c r="E233" s="189"/>
      <c r="F233" s="190"/>
      <c r="G233" s="190"/>
      <c r="H233" s="189"/>
      <c r="I233" s="189"/>
      <c r="J233" s="191"/>
      <c r="K233" s="191"/>
      <c r="L233" s="61">
        <f t="shared" si="24"/>
        <v>0</v>
      </c>
      <c r="M233" s="192"/>
      <c r="N233" s="193"/>
      <c r="O233" s="192"/>
      <c r="P233" s="194"/>
      <c r="Q233" s="195"/>
      <c r="R233" s="196"/>
      <c r="S233" s="197"/>
      <c r="T233" s="62">
        <f t="shared" si="25"/>
        <v>0</v>
      </c>
      <c r="U233" s="63">
        <f t="shared" si="26"/>
        <v>0</v>
      </c>
      <c r="V233" s="145">
        <f t="shared" si="27"/>
        <v>0</v>
      </c>
      <c r="W233" s="198"/>
      <c r="X233" s="1379"/>
      <c r="Y233" s="1380"/>
      <c r="Z233" s="62">
        <f t="shared" si="28"/>
        <v>0</v>
      </c>
      <c r="AA233" s="146">
        <f t="shared" si="29"/>
        <v>0</v>
      </c>
      <c r="AB233" s="198"/>
      <c r="AC233" s="1379"/>
      <c r="AD233" s="1380"/>
      <c r="AE233" s="62">
        <f t="shared" si="30"/>
        <v>0</v>
      </c>
      <c r="AF233" s="148">
        <f t="shared" si="31"/>
        <v>0</v>
      </c>
      <c r="AG233" s="198"/>
      <c r="AH233" s="1379"/>
      <c r="AI233" s="1380"/>
      <c r="AJ233"/>
      <c r="AK233"/>
      <c r="AL233"/>
      <c r="AM233"/>
      <c r="AN233"/>
    </row>
    <row r="234" spans="1:40" s="66" customFormat="1" ht="14.5">
      <c r="A234" s="186"/>
      <c r="B234" s="187"/>
      <c r="C234" s="188"/>
      <c r="D234" s="188"/>
      <c r="E234" s="189"/>
      <c r="F234" s="190"/>
      <c r="G234" s="190"/>
      <c r="H234" s="189"/>
      <c r="I234" s="189"/>
      <c r="J234" s="191"/>
      <c r="K234" s="191"/>
      <c r="L234" s="61">
        <f t="shared" si="24"/>
        <v>0</v>
      </c>
      <c r="M234" s="192"/>
      <c r="N234" s="193"/>
      <c r="O234" s="192"/>
      <c r="P234" s="194"/>
      <c r="Q234" s="195"/>
      <c r="R234" s="196"/>
      <c r="S234" s="197"/>
      <c r="T234" s="62">
        <f t="shared" si="25"/>
        <v>0</v>
      </c>
      <c r="U234" s="63">
        <f t="shared" si="26"/>
        <v>0</v>
      </c>
      <c r="V234" s="145">
        <f t="shared" si="27"/>
        <v>0</v>
      </c>
      <c r="W234" s="198"/>
      <c r="X234" s="1379"/>
      <c r="Y234" s="1380"/>
      <c r="Z234" s="62">
        <f t="shared" si="28"/>
        <v>0</v>
      </c>
      <c r="AA234" s="146">
        <f t="shared" si="29"/>
        <v>0</v>
      </c>
      <c r="AB234" s="198"/>
      <c r="AC234" s="1379"/>
      <c r="AD234" s="1380"/>
      <c r="AE234" s="62">
        <f t="shared" si="30"/>
        <v>0</v>
      </c>
      <c r="AF234" s="148">
        <f t="shared" si="31"/>
        <v>0</v>
      </c>
      <c r="AG234" s="198"/>
      <c r="AH234" s="1379"/>
      <c r="AI234" s="1380"/>
      <c r="AJ234"/>
      <c r="AK234"/>
      <c r="AL234"/>
      <c r="AM234"/>
      <c r="AN234"/>
    </row>
    <row r="235" spans="1:40" s="66" customFormat="1" ht="14.5">
      <c r="A235" s="186"/>
      <c r="B235" s="187"/>
      <c r="C235" s="188"/>
      <c r="D235" s="188"/>
      <c r="E235" s="189"/>
      <c r="F235" s="190"/>
      <c r="G235" s="190"/>
      <c r="H235" s="189"/>
      <c r="I235" s="189"/>
      <c r="J235" s="191"/>
      <c r="K235" s="191"/>
      <c r="L235" s="61">
        <f t="shared" si="24"/>
        <v>0</v>
      </c>
      <c r="M235" s="192"/>
      <c r="N235" s="193"/>
      <c r="O235" s="192"/>
      <c r="P235" s="194"/>
      <c r="Q235" s="195"/>
      <c r="R235" s="196"/>
      <c r="S235" s="197"/>
      <c r="T235" s="62">
        <f t="shared" si="25"/>
        <v>0</v>
      </c>
      <c r="U235" s="63">
        <f t="shared" si="26"/>
        <v>0</v>
      </c>
      <c r="V235" s="145">
        <f t="shared" si="27"/>
        <v>0</v>
      </c>
      <c r="W235" s="198"/>
      <c r="X235" s="1379"/>
      <c r="Y235" s="1380"/>
      <c r="Z235" s="62">
        <f t="shared" si="28"/>
        <v>0</v>
      </c>
      <c r="AA235" s="146">
        <f t="shared" si="29"/>
        <v>0</v>
      </c>
      <c r="AB235" s="198"/>
      <c r="AC235" s="1379"/>
      <c r="AD235" s="1380"/>
      <c r="AE235" s="62">
        <f t="shared" si="30"/>
        <v>0</v>
      </c>
      <c r="AF235" s="148">
        <f t="shared" si="31"/>
        <v>0</v>
      </c>
      <c r="AG235" s="198"/>
      <c r="AH235" s="1379"/>
      <c r="AI235" s="1380"/>
      <c r="AJ235"/>
      <c r="AK235"/>
      <c r="AL235"/>
      <c r="AM235"/>
      <c r="AN235"/>
    </row>
    <row r="236" spans="1:40" s="66" customFormat="1" ht="14.5">
      <c r="A236" s="186"/>
      <c r="B236" s="187"/>
      <c r="C236" s="188"/>
      <c r="D236" s="188"/>
      <c r="E236" s="189"/>
      <c r="F236" s="190"/>
      <c r="G236" s="190"/>
      <c r="H236" s="189"/>
      <c r="I236" s="189"/>
      <c r="J236" s="191"/>
      <c r="K236" s="191"/>
      <c r="L236" s="61">
        <f t="shared" si="24"/>
        <v>0</v>
      </c>
      <c r="M236" s="192"/>
      <c r="N236" s="193"/>
      <c r="O236" s="192"/>
      <c r="P236" s="194"/>
      <c r="Q236" s="195"/>
      <c r="R236" s="196"/>
      <c r="S236" s="197"/>
      <c r="T236" s="62">
        <f t="shared" si="25"/>
        <v>0</v>
      </c>
      <c r="U236" s="63">
        <f t="shared" si="26"/>
        <v>0</v>
      </c>
      <c r="V236" s="145">
        <f t="shared" si="27"/>
        <v>0</v>
      </c>
      <c r="W236" s="198"/>
      <c r="X236" s="1379"/>
      <c r="Y236" s="1380"/>
      <c r="Z236" s="62">
        <f t="shared" si="28"/>
        <v>0</v>
      </c>
      <c r="AA236" s="146">
        <f t="shared" si="29"/>
        <v>0</v>
      </c>
      <c r="AB236" s="198"/>
      <c r="AC236" s="1379"/>
      <c r="AD236" s="1380"/>
      <c r="AE236" s="62">
        <f t="shared" si="30"/>
        <v>0</v>
      </c>
      <c r="AF236" s="148">
        <f t="shared" si="31"/>
        <v>0</v>
      </c>
      <c r="AG236" s="198"/>
      <c r="AH236" s="1379"/>
      <c r="AI236" s="1380"/>
      <c r="AJ236"/>
      <c r="AK236"/>
      <c r="AL236"/>
      <c r="AM236"/>
      <c r="AN236"/>
    </row>
    <row r="237" spans="1:40" s="66" customFormat="1" ht="14.5">
      <c r="A237" s="186"/>
      <c r="B237" s="187"/>
      <c r="C237" s="188"/>
      <c r="D237" s="188"/>
      <c r="E237" s="189"/>
      <c r="F237" s="190"/>
      <c r="G237" s="190"/>
      <c r="H237" s="189"/>
      <c r="I237" s="189"/>
      <c r="J237" s="191"/>
      <c r="K237" s="191"/>
      <c r="L237" s="61">
        <f t="shared" si="24"/>
        <v>0</v>
      </c>
      <c r="M237" s="192"/>
      <c r="N237" s="193"/>
      <c r="O237" s="192"/>
      <c r="P237" s="194"/>
      <c r="Q237" s="195"/>
      <c r="R237" s="196"/>
      <c r="S237" s="197"/>
      <c r="T237" s="62">
        <f t="shared" si="25"/>
        <v>0</v>
      </c>
      <c r="U237" s="63">
        <f t="shared" si="26"/>
        <v>0</v>
      </c>
      <c r="V237" s="145">
        <f t="shared" si="27"/>
        <v>0</v>
      </c>
      <c r="W237" s="198"/>
      <c r="X237" s="1379"/>
      <c r="Y237" s="1380"/>
      <c r="Z237" s="62">
        <f t="shared" si="28"/>
        <v>0</v>
      </c>
      <c r="AA237" s="146">
        <f t="shared" si="29"/>
        <v>0</v>
      </c>
      <c r="AB237" s="198"/>
      <c r="AC237" s="1379"/>
      <c r="AD237" s="1380"/>
      <c r="AE237" s="62">
        <f t="shared" si="30"/>
        <v>0</v>
      </c>
      <c r="AF237" s="148">
        <f t="shared" si="31"/>
        <v>0</v>
      </c>
      <c r="AG237" s="198"/>
      <c r="AH237" s="1379"/>
      <c r="AI237" s="1380"/>
      <c r="AJ237"/>
      <c r="AK237"/>
      <c r="AL237"/>
      <c r="AM237"/>
      <c r="AN237"/>
    </row>
    <row r="238" spans="1:40" s="66" customFormat="1" ht="14.5">
      <c r="A238" s="186"/>
      <c r="B238" s="187"/>
      <c r="C238" s="188"/>
      <c r="D238" s="188"/>
      <c r="E238" s="189"/>
      <c r="F238" s="190"/>
      <c r="G238" s="190"/>
      <c r="H238" s="189"/>
      <c r="I238" s="189"/>
      <c r="J238" s="191"/>
      <c r="K238" s="191"/>
      <c r="L238" s="61">
        <f t="shared" si="24"/>
        <v>0</v>
      </c>
      <c r="M238" s="192"/>
      <c r="N238" s="193"/>
      <c r="O238" s="192"/>
      <c r="P238" s="194"/>
      <c r="Q238" s="195"/>
      <c r="R238" s="196"/>
      <c r="S238" s="197"/>
      <c r="T238" s="62">
        <f t="shared" si="25"/>
        <v>0</v>
      </c>
      <c r="U238" s="63">
        <f t="shared" si="26"/>
        <v>0</v>
      </c>
      <c r="V238" s="145">
        <f t="shared" si="27"/>
        <v>0</v>
      </c>
      <c r="W238" s="198"/>
      <c r="X238" s="1379"/>
      <c r="Y238" s="1380"/>
      <c r="Z238" s="62">
        <f t="shared" si="28"/>
        <v>0</v>
      </c>
      <c r="AA238" s="146">
        <f t="shared" si="29"/>
        <v>0</v>
      </c>
      <c r="AB238" s="198"/>
      <c r="AC238" s="1379"/>
      <c r="AD238" s="1380"/>
      <c r="AE238" s="62">
        <f t="shared" si="30"/>
        <v>0</v>
      </c>
      <c r="AF238" s="148">
        <f t="shared" si="31"/>
        <v>0</v>
      </c>
      <c r="AG238" s="198"/>
      <c r="AH238" s="1379"/>
      <c r="AI238" s="1380"/>
      <c r="AJ238"/>
      <c r="AK238"/>
      <c r="AL238"/>
      <c r="AM238"/>
      <c r="AN238"/>
    </row>
    <row r="239" spans="1:40" s="66" customFormat="1" ht="14.5">
      <c r="A239" s="186"/>
      <c r="B239" s="187"/>
      <c r="C239" s="188"/>
      <c r="D239" s="188"/>
      <c r="E239" s="189"/>
      <c r="F239" s="190"/>
      <c r="G239" s="190"/>
      <c r="H239" s="189"/>
      <c r="I239" s="189"/>
      <c r="J239" s="191"/>
      <c r="K239" s="191"/>
      <c r="L239" s="61">
        <f t="shared" si="24"/>
        <v>0</v>
      </c>
      <c r="M239" s="192"/>
      <c r="N239" s="193"/>
      <c r="O239" s="192"/>
      <c r="P239" s="194"/>
      <c r="Q239" s="195"/>
      <c r="R239" s="196"/>
      <c r="S239" s="197"/>
      <c r="T239" s="62">
        <f t="shared" si="25"/>
        <v>0</v>
      </c>
      <c r="U239" s="63">
        <f t="shared" si="26"/>
        <v>0</v>
      </c>
      <c r="V239" s="145">
        <f t="shared" si="27"/>
        <v>0</v>
      </c>
      <c r="W239" s="198"/>
      <c r="X239" s="1379"/>
      <c r="Y239" s="1380"/>
      <c r="Z239" s="62">
        <f t="shared" si="28"/>
        <v>0</v>
      </c>
      <c r="AA239" s="146">
        <f t="shared" si="29"/>
        <v>0</v>
      </c>
      <c r="AB239" s="198"/>
      <c r="AC239" s="1379"/>
      <c r="AD239" s="1380"/>
      <c r="AE239" s="62">
        <f t="shared" si="30"/>
        <v>0</v>
      </c>
      <c r="AF239" s="148">
        <f t="shared" si="31"/>
        <v>0</v>
      </c>
      <c r="AG239" s="198"/>
      <c r="AH239" s="1379"/>
      <c r="AI239" s="1380"/>
      <c r="AJ239"/>
      <c r="AK239"/>
      <c r="AL239"/>
      <c r="AM239"/>
      <c r="AN239"/>
    </row>
    <row r="240" spans="1:40" s="66" customFormat="1" ht="14.5">
      <c r="A240" s="186"/>
      <c r="B240" s="187"/>
      <c r="C240" s="188"/>
      <c r="D240" s="188"/>
      <c r="E240" s="189"/>
      <c r="F240" s="190"/>
      <c r="G240" s="190"/>
      <c r="H240" s="189"/>
      <c r="I240" s="189"/>
      <c r="J240" s="191"/>
      <c r="K240" s="191"/>
      <c r="L240" s="61">
        <f t="shared" si="24"/>
        <v>0</v>
      </c>
      <c r="M240" s="192"/>
      <c r="N240" s="193"/>
      <c r="O240" s="192"/>
      <c r="P240" s="194"/>
      <c r="Q240" s="195"/>
      <c r="R240" s="196"/>
      <c r="S240" s="197"/>
      <c r="T240" s="62">
        <f t="shared" si="25"/>
        <v>0</v>
      </c>
      <c r="U240" s="63">
        <f t="shared" si="26"/>
        <v>0</v>
      </c>
      <c r="V240" s="145">
        <f t="shared" si="27"/>
        <v>0</v>
      </c>
      <c r="W240" s="198"/>
      <c r="X240" s="1379"/>
      <c r="Y240" s="1380"/>
      <c r="Z240" s="62">
        <f t="shared" si="28"/>
        <v>0</v>
      </c>
      <c r="AA240" s="146">
        <f t="shared" si="29"/>
        <v>0</v>
      </c>
      <c r="AB240" s="198"/>
      <c r="AC240" s="1379"/>
      <c r="AD240" s="1380"/>
      <c r="AE240" s="62">
        <f t="shared" si="30"/>
        <v>0</v>
      </c>
      <c r="AF240" s="148">
        <f t="shared" si="31"/>
        <v>0</v>
      </c>
      <c r="AG240" s="198"/>
      <c r="AH240" s="1379"/>
      <c r="AI240" s="1380"/>
      <c r="AJ240"/>
      <c r="AK240"/>
      <c r="AL240"/>
      <c r="AM240"/>
      <c r="AN240"/>
    </row>
    <row r="241" spans="1:40" s="66" customFormat="1" ht="14.5">
      <c r="A241" s="186"/>
      <c r="B241" s="187"/>
      <c r="C241" s="188"/>
      <c r="D241" s="188"/>
      <c r="E241" s="189"/>
      <c r="F241" s="190"/>
      <c r="G241" s="190"/>
      <c r="H241" s="189"/>
      <c r="I241" s="189"/>
      <c r="J241" s="191"/>
      <c r="K241" s="191"/>
      <c r="L241" s="61">
        <f t="shared" si="24"/>
        <v>0</v>
      </c>
      <c r="M241" s="192"/>
      <c r="N241" s="193"/>
      <c r="O241" s="192"/>
      <c r="P241" s="194"/>
      <c r="Q241" s="195"/>
      <c r="R241" s="196"/>
      <c r="S241" s="197"/>
      <c r="T241" s="62">
        <f t="shared" si="25"/>
        <v>0</v>
      </c>
      <c r="U241" s="63">
        <f t="shared" si="26"/>
        <v>0</v>
      </c>
      <c r="V241" s="145">
        <f t="shared" si="27"/>
        <v>0</v>
      </c>
      <c r="W241" s="198"/>
      <c r="X241" s="1379"/>
      <c r="Y241" s="1380"/>
      <c r="Z241" s="62">
        <f t="shared" si="28"/>
        <v>0</v>
      </c>
      <c r="AA241" s="146">
        <f t="shared" si="29"/>
        <v>0</v>
      </c>
      <c r="AB241" s="198"/>
      <c r="AC241" s="1379"/>
      <c r="AD241" s="1380"/>
      <c r="AE241" s="62">
        <f t="shared" si="30"/>
        <v>0</v>
      </c>
      <c r="AF241" s="148">
        <f t="shared" si="31"/>
        <v>0</v>
      </c>
      <c r="AG241" s="198"/>
      <c r="AH241" s="1379"/>
      <c r="AI241" s="1380"/>
      <c r="AJ241"/>
      <c r="AK241"/>
      <c r="AL241"/>
      <c r="AM241"/>
      <c r="AN241"/>
    </row>
    <row r="242" spans="1:40" s="66" customFormat="1" ht="14.5">
      <c r="A242" s="186"/>
      <c r="B242" s="187"/>
      <c r="C242" s="188"/>
      <c r="D242" s="188"/>
      <c r="E242" s="189"/>
      <c r="F242" s="190"/>
      <c r="G242" s="190"/>
      <c r="H242" s="189"/>
      <c r="I242" s="189"/>
      <c r="J242" s="191"/>
      <c r="K242" s="191"/>
      <c r="L242" s="61">
        <f t="shared" si="24"/>
        <v>0</v>
      </c>
      <c r="M242" s="192"/>
      <c r="N242" s="193"/>
      <c r="O242" s="192"/>
      <c r="P242" s="194"/>
      <c r="Q242" s="195"/>
      <c r="R242" s="196"/>
      <c r="S242" s="197"/>
      <c r="T242" s="62">
        <f t="shared" si="25"/>
        <v>0</v>
      </c>
      <c r="U242" s="63">
        <f t="shared" si="26"/>
        <v>0</v>
      </c>
      <c r="V242" s="145">
        <f t="shared" si="27"/>
        <v>0</v>
      </c>
      <c r="W242" s="198"/>
      <c r="X242" s="1379"/>
      <c r="Y242" s="1380"/>
      <c r="Z242" s="62">
        <f t="shared" si="28"/>
        <v>0</v>
      </c>
      <c r="AA242" s="146">
        <f t="shared" si="29"/>
        <v>0</v>
      </c>
      <c r="AB242" s="198"/>
      <c r="AC242" s="1379"/>
      <c r="AD242" s="1380"/>
      <c r="AE242" s="62">
        <f t="shared" si="30"/>
        <v>0</v>
      </c>
      <c r="AF242" s="148">
        <f t="shared" si="31"/>
        <v>0</v>
      </c>
      <c r="AG242" s="198"/>
      <c r="AH242" s="1379"/>
      <c r="AI242" s="1380"/>
      <c r="AJ242"/>
      <c r="AK242"/>
      <c r="AL242"/>
      <c r="AM242"/>
      <c r="AN242"/>
    </row>
    <row r="243" spans="1:40" s="66" customFormat="1" ht="14.5">
      <c r="A243" s="186"/>
      <c r="B243" s="187"/>
      <c r="C243" s="188"/>
      <c r="D243" s="188"/>
      <c r="E243" s="189"/>
      <c r="F243" s="190"/>
      <c r="G243" s="190"/>
      <c r="H243" s="189"/>
      <c r="I243" s="189"/>
      <c r="J243" s="191"/>
      <c r="K243" s="191"/>
      <c r="L243" s="61">
        <f t="shared" si="24"/>
        <v>0</v>
      </c>
      <c r="M243" s="192"/>
      <c r="N243" s="193"/>
      <c r="O243" s="192"/>
      <c r="P243" s="194"/>
      <c r="Q243" s="195"/>
      <c r="R243" s="196"/>
      <c r="S243" s="197"/>
      <c r="T243" s="62">
        <f t="shared" si="25"/>
        <v>0</v>
      </c>
      <c r="U243" s="63">
        <f t="shared" si="26"/>
        <v>0</v>
      </c>
      <c r="V243" s="145">
        <f t="shared" si="27"/>
        <v>0</v>
      </c>
      <c r="W243" s="198"/>
      <c r="X243" s="1379"/>
      <c r="Y243" s="1380"/>
      <c r="Z243" s="62">
        <f t="shared" si="28"/>
        <v>0</v>
      </c>
      <c r="AA243" s="146">
        <f t="shared" si="29"/>
        <v>0</v>
      </c>
      <c r="AB243" s="198"/>
      <c r="AC243" s="1379"/>
      <c r="AD243" s="1380"/>
      <c r="AE243" s="62">
        <f t="shared" si="30"/>
        <v>0</v>
      </c>
      <c r="AF243" s="148">
        <f t="shared" si="31"/>
        <v>0</v>
      </c>
      <c r="AG243" s="198"/>
      <c r="AH243" s="1379"/>
      <c r="AI243" s="1380"/>
      <c r="AJ243"/>
      <c r="AK243"/>
      <c r="AL243"/>
      <c r="AM243"/>
      <c r="AN243"/>
    </row>
    <row r="244" spans="1:40" s="66" customFormat="1" ht="14.5">
      <c r="A244" s="186"/>
      <c r="B244" s="187"/>
      <c r="C244" s="188"/>
      <c r="D244" s="188"/>
      <c r="E244" s="189"/>
      <c r="F244" s="190"/>
      <c r="G244" s="190"/>
      <c r="H244" s="189"/>
      <c r="I244" s="189"/>
      <c r="J244" s="191"/>
      <c r="K244" s="191"/>
      <c r="L244" s="61">
        <f t="shared" si="24"/>
        <v>0</v>
      </c>
      <c r="M244" s="192"/>
      <c r="N244" s="193"/>
      <c r="O244" s="192"/>
      <c r="P244" s="194"/>
      <c r="Q244" s="195"/>
      <c r="R244" s="196"/>
      <c r="S244" s="197"/>
      <c r="T244" s="62">
        <f t="shared" si="25"/>
        <v>0</v>
      </c>
      <c r="U244" s="63">
        <f t="shared" si="26"/>
        <v>0</v>
      </c>
      <c r="V244" s="145">
        <f t="shared" si="27"/>
        <v>0</v>
      </c>
      <c r="W244" s="198"/>
      <c r="X244" s="1379"/>
      <c r="Y244" s="1380"/>
      <c r="Z244" s="62">
        <f t="shared" si="28"/>
        <v>0</v>
      </c>
      <c r="AA244" s="146">
        <f t="shared" si="29"/>
        <v>0</v>
      </c>
      <c r="AB244" s="198"/>
      <c r="AC244" s="1379"/>
      <c r="AD244" s="1380"/>
      <c r="AE244" s="62">
        <f t="shared" si="30"/>
        <v>0</v>
      </c>
      <c r="AF244" s="148">
        <f t="shared" si="31"/>
        <v>0</v>
      </c>
      <c r="AG244" s="198"/>
      <c r="AH244" s="1379"/>
      <c r="AI244" s="1380"/>
      <c r="AJ244"/>
      <c r="AK244"/>
      <c r="AL244"/>
      <c r="AM244"/>
      <c r="AN244"/>
    </row>
    <row r="245" spans="1:40" s="66" customFormat="1" ht="14.5">
      <c r="A245" s="186"/>
      <c r="B245" s="187"/>
      <c r="C245" s="188"/>
      <c r="D245" s="188"/>
      <c r="E245" s="189"/>
      <c r="F245" s="190"/>
      <c r="G245" s="190"/>
      <c r="H245" s="189"/>
      <c r="I245" s="189"/>
      <c r="J245" s="191"/>
      <c r="K245" s="191"/>
      <c r="L245" s="61">
        <f t="shared" si="24"/>
        <v>0</v>
      </c>
      <c r="M245" s="192"/>
      <c r="N245" s="193"/>
      <c r="O245" s="192"/>
      <c r="P245" s="194"/>
      <c r="Q245" s="195"/>
      <c r="R245" s="196"/>
      <c r="S245" s="197"/>
      <c r="T245" s="62">
        <f t="shared" si="25"/>
        <v>0</v>
      </c>
      <c r="U245" s="63">
        <f t="shared" si="26"/>
        <v>0</v>
      </c>
      <c r="V245" s="145">
        <f t="shared" si="27"/>
        <v>0</v>
      </c>
      <c r="W245" s="198"/>
      <c r="X245" s="1379"/>
      <c r="Y245" s="1380"/>
      <c r="Z245" s="62">
        <f t="shared" si="28"/>
        <v>0</v>
      </c>
      <c r="AA245" s="146">
        <f t="shared" si="29"/>
        <v>0</v>
      </c>
      <c r="AB245" s="198"/>
      <c r="AC245" s="1379"/>
      <c r="AD245" s="1380"/>
      <c r="AE245" s="62">
        <f t="shared" si="30"/>
        <v>0</v>
      </c>
      <c r="AF245" s="148">
        <f t="shared" si="31"/>
        <v>0</v>
      </c>
      <c r="AG245" s="198"/>
      <c r="AH245" s="1379"/>
      <c r="AI245" s="1380"/>
      <c r="AJ245"/>
      <c r="AK245"/>
      <c r="AL245"/>
      <c r="AM245"/>
      <c r="AN245"/>
    </row>
    <row r="246" spans="1:40" s="66" customFormat="1" ht="14.5">
      <c r="A246" s="186"/>
      <c r="B246" s="187"/>
      <c r="C246" s="188"/>
      <c r="D246" s="188"/>
      <c r="E246" s="189"/>
      <c r="F246" s="190"/>
      <c r="G246" s="190"/>
      <c r="H246" s="189"/>
      <c r="I246" s="189"/>
      <c r="J246" s="191"/>
      <c r="K246" s="191"/>
      <c r="L246" s="61">
        <f t="shared" si="24"/>
        <v>0</v>
      </c>
      <c r="M246" s="192"/>
      <c r="N246" s="193"/>
      <c r="O246" s="192"/>
      <c r="P246" s="194"/>
      <c r="Q246" s="195"/>
      <c r="R246" s="196"/>
      <c r="S246" s="197"/>
      <c r="T246" s="62">
        <f t="shared" si="25"/>
        <v>0</v>
      </c>
      <c r="U246" s="63">
        <f t="shared" si="26"/>
        <v>0</v>
      </c>
      <c r="V246" s="145">
        <f t="shared" si="27"/>
        <v>0</v>
      </c>
      <c r="W246" s="198"/>
      <c r="X246" s="1379"/>
      <c r="Y246" s="1380"/>
      <c r="Z246" s="62">
        <f t="shared" si="28"/>
        <v>0</v>
      </c>
      <c r="AA246" s="146">
        <f t="shared" si="29"/>
        <v>0</v>
      </c>
      <c r="AB246" s="198"/>
      <c r="AC246" s="1379"/>
      <c r="AD246" s="1380"/>
      <c r="AE246" s="62">
        <f t="shared" si="30"/>
        <v>0</v>
      </c>
      <c r="AF246" s="148">
        <f t="shared" si="31"/>
        <v>0</v>
      </c>
      <c r="AG246" s="198"/>
      <c r="AH246" s="1379"/>
      <c r="AI246" s="1380"/>
      <c r="AJ246"/>
      <c r="AK246"/>
      <c r="AL246"/>
      <c r="AM246"/>
      <c r="AN246"/>
    </row>
    <row r="247" spans="1:40" s="66" customFormat="1" ht="14.5">
      <c r="A247" s="186"/>
      <c r="B247" s="187"/>
      <c r="C247" s="188"/>
      <c r="D247" s="188"/>
      <c r="E247" s="189"/>
      <c r="F247" s="190"/>
      <c r="G247" s="190"/>
      <c r="H247" s="189"/>
      <c r="I247" s="189"/>
      <c r="J247" s="191"/>
      <c r="K247" s="191"/>
      <c r="L247" s="61">
        <f t="shared" si="24"/>
        <v>0</v>
      </c>
      <c r="M247" s="192"/>
      <c r="N247" s="193"/>
      <c r="O247" s="192"/>
      <c r="P247" s="194"/>
      <c r="Q247" s="195"/>
      <c r="R247" s="196"/>
      <c r="S247" s="197"/>
      <c r="T247" s="62">
        <f t="shared" si="25"/>
        <v>0</v>
      </c>
      <c r="U247" s="63">
        <f t="shared" si="26"/>
        <v>0</v>
      </c>
      <c r="V247" s="145">
        <f t="shared" si="27"/>
        <v>0</v>
      </c>
      <c r="W247" s="198"/>
      <c r="X247" s="1379"/>
      <c r="Y247" s="1380"/>
      <c r="Z247" s="62">
        <f t="shared" si="28"/>
        <v>0</v>
      </c>
      <c r="AA247" s="146">
        <f t="shared" si="29"/>
        <v>0</v>
      </c>
      <c r="AB247" s="198"/>
      <c r="AC247" s="1379"/>
      <c r="AD247" s="1380"/>
      <c r="AE247" s="62">
        <f t="shared" si="30"/>
        <v>0</v>
      </c>
      <c r="AF247" s="148">
        <f t="shared" si="31"/>
        <v>0</v>
      </c>
      <c r="AG247" s="198"/>
      <c r="AH247" s="1379"/>
      <c r="AI247" s="1380"/>
      <c r="AJ247"/>
      <c r="AK247"/>
      <c r="AL247"/>
      <c r="AM247"/>
      <c r="AN247"/>
    </row>
    <row r="248" spans="1:40" s="66" customFormat="1" ht="14.5">
      <c r="A248" s="186"/>
      <c r="B248" s="187"/>
      <c r="C248" s="188"/>
      <c r="D248" s="188"/>
      <c r="E248" s="189"/>
      <c r="F248" s="190"/>
      <c r="G248" s="190"/>
      <c r="H248" s="189"/>
      <c r="I248" s="189"/>
      <c r="J248" s="191"/>
      <c r="K248" s="191"/>
      <c r="L248" s="61">
        <f t="shared" si="24"/>
        <v>0</v>
      </c>
      <c r="M248" s="192"/>
      <c r="N248" s="193"/>
      <c r="O248" s="192"/>
      <c r="P248" s="194"/>
      <c r="Q248" s="195"/>
      <c r="R248" s="196"/>
      <c r="S248" s="197"/>
      <c r="T248" s="62">
        <f t="shared" si="25"/>
        <v>0</v>
      </c>
      <c r="U248" s="63">
        <f t="shared" si="26"/>
        <v>0</v>
      </c>
      <c r="V248" s="145">
        <f t="shared" si="27"/>
        <v>0</v>
      </c>
      <c r="W248" s="198"/>
      <c r="X248" s="1379"/>
      <c r="Y248" s="1380"/>
      <c r="Z248" s="62">
        <f t="shared" si="28"/>
        <v>0</v>
      </c>
      <c r="AA248" s="146">
        <f t="shared" si="29"/>
        <v>0</v>
      </c>
      <c r="AB248" s="198"/>
      <c r="AC248" s="1379"/>
      <c r="AD248" s="1380"/>
      <c r="AE248" s="62">
        <f t="shared" si="30"/>
        <v>0</v>
      </c>
      <c r="AF248" s="148">
        <f t="shared" si="31"/>
        <v>0</v>
      </c>
      <c r="AG248" s="198"/>
      <c r="AH248" s="1379"/>
      <c r="AI248" s="1380"/>
      <c r="AJ248"/>
      <c r="AK248"/>
      <c r="AL248"/>
      <c r="AM248"/>
      <c r="AN248"/>
    </row>
    <row r="249" spans="1:40" s="66" customFormat="1" ht="14.5">
      <c r="A249" s="186"/>
      <c r="B249" s="187"/>
      <c r="C249" s="188"/>
      <c r="D249" s="188"/>
      <c r="E249" s="189"/>
      <c r="F249" s="190"/>
      <c r="G249" s="190"/>
      <c r="H249" s="189"/>
      <c r="I249" s="189"/>
      <c r="J249" s="191"/>
      <c r="K249" s="191"/>
      <c r="L249" s="61">
        <f t="shared" si="24"/>
        <v>0</v>
      </c>
      <c r="M249" s="192"/>
      <c r="N249" s="193"/>
      <c r="O249" s="192"/>
      <c r="P249" s="194"/>
      <c r="Q249" s="195"/>
      <c r="R249" s="196"/>
      <c r="S249" s="197"/>
      <c r="T249" s="62">
        <f t="shared" si="25"/>
        <v>0</v>
      </c>
      <c r="U249" s="63">
        <f t="shared" si="26"/>
        <v>0</v>
      </c>
      <c r="V249" s="145">
        <f t="shared" si="27"/>
        <v>0</v>
      </c>
      <c r="W249" s="198"/>
      <c r="X249" s="1379"/>
      <c r="Y249" s="1380"/>
      <c r="Z249" s="62">
        <f t="shared" si="28"/>
        <v>0</v>
      </c>
      <c r="AA249" s="146">
        <f t="shared" si="29"/>
        <v>0</v>
      </c>
      <c r="AB249" s="198"/>
      <c r="AC249" s="1379"/>
      <c r="AD249" s="1380"/>
      <c r="AE249" s="62">
        <f t="shared" si="30"/>
        <v>0</v>
      </c>
      <c r="AF249" s="148">
        <f t="shared" si="31"/>
        <v>0</v>
      </c>
      <c r="AG249" s="198"/>
      <c r="AH249" s="1379"/>
      <c r="AI249" s="1380"/>
      <c r="AJ249"/>
      <c r="AK249"/>
      <c r="AL249"/>
      <c r="AM249"/>
      <c r="AN249"/>
    </row>
    <row r="250" spans="1:40" s="66" customFormat="1" ht="14.5">
      <c r="A250" s="186"/>
      <c r="B250" s="187"/>
      <c r="C250" s="188"/>
      <c r="D250" s="188"/>
      <c r="E250" s="189"/>
      <c r="F250" s="190"/>
      <c r="G250" s="190"/>
      <c r="H250" s="189"/>
      <c r="I250" s="189"/>
      <c r="J250" s="191"/>
      <c r="K250" s="191"/>
      <c r="L250" s="61">
        <f t="shared" si="24"/>
        <v>0</v>
      </c>
      <c r="M250" s="192"/>
      <c r="N250" s="193"/>
      <c r="O250" s="192"/>
      <c r="P250" s="194"/>
      <c r="Q250" s="195"/>
      <c r="R250" s="196"/>
      <c r="S250" s="197"/>
      <c r="T250" s="62">
        <f t="shared" si="25"/>
        <v>0</v>
      </c>
      <c r="U250" s="63">
        <f t="shared" si="26"/>
        <v>0</v>
      </c>
      <c r="V250" s="145">
        <f t="shared" si="27"/>
        <v>0</v>
      </c>
      <c r="W250" s="198"/>
      <c r="X250" s="1379"/>
      <c r="Y250" s="1380"/>
      <c r="Z250" s="62">
        <f t="shared" si="28"/>
        <v>0</v>
      </c>
      <c r="AA250" s="146">
        <f t="shared" si="29"/>
        <v>0</v>
      </c>
      <c r="AB250" s="198"/>
      <c r="AC250" s="1379"/>
      <c r="AD250" s="1380"/>
      <c r="AE250" s="62">
        <f t="shared" si="30"/>
        <v>0</v>
      </c>
      <c r="AF250" s="148">
        <f t="shared" si="31"/>
        <v>0</v>
      </c>
      <c r="AG250" s="198"/>
      <c r="AH250" s="1379"/>
      <c r="AI250" s="1380"/>
      <c r="AJ250"/>
      <c r="AK250"/>
      <c r="AL250"/>
      <c r="AM250"/>
      <c r="AN250"/>
    </row>
    <row r="251" spans="1:40" s="66" customFormat="1" ht="14.5">
      <c r="A251" s="186"/>
      <c r="B251" s="187"/>
      <c r="C251" s="188"/>
      <c r="D251" s="188"/>
      <c r="E251" s="189"/>
      <c r="F251" s="190"/>
      <c r="G251" s="190"/>
      <c r="H251" s="189"/>
      <c r="I251" s="189"/>
      <c r="J251" s="191"/>
      <c r="K251" s="191"/>
      <c r="L251" s="61">
        <f t="shared" si="24"/>
        <v>0</v>
      </c>
      <c r="M251" s="192"/>
      <c r="N251" s="193"/>
      <c r="O251" s="192"/>
      <c r="P251" s="194"/>
      <c r="Q251" s="195"/>
      <c r="R251" s="196"/>
      <c r="S251" s="197"/>
      <c r="T251" s="62">
        <f t="shared" si="25"/>
        <v>0</v>
      </c>
      <c r="U251" s="63">
        <f t="shared" si="26"/>
        <v>0</v>
      </c>
      <c r="V251" s="145">
        <f t="shared" si="27"/>
        <v>0</v>
      </c>
      <c r="W251" s="198"/>
      <c r="X251" s="1379"/>
      <c r="Y251" s="1380"/>
      <c r="Z251" s="62">
        <f t="shared" si="28"/>
        <v>0</v>
      </c>
      <c r="AA251" s="146">
        <f t="shared" si="29"/>
        <v>0</v>
      </c>
      <c r="AB251" s="198"/>
      <c r="AC251" s="1379"/>
      <c r="AD251" s="1380"/>
      <c r="AE251" s="62">
        <f t="shared" si="30"/>
        <v>0</v>
      </c>
      <c r="AF251" s="148">
        <f t="shared" si="31"/>
        <v>0</v>
      </c>
      <c r="AG251" s="198"/>
      <c r="AH251" s="1379"/>
      <c r="AI251" s="1380"/>
      <c r="AJ251"/>
      <c r="AK251"/>
      <c r="AL251"/>
      <c r="AM251"/>
      <c r="AN251"/>
    </row>
    <row r="252" spans="1:40" s="66" customFormat="1" ht="14.5">
      <c r="A252" s="186"/>
      <c r="B252" s="187"/>
      <c r="C252" s="188"/>
      <c r="D252" s="188"/>
      <c r="E252" s="189"/>
      <c r="F252" s="190"/>
      <c r="G252" s="190"/>
      <c r="H252" s="189"/>
      <c r="I252" s="189"/>
      <c r="J252" s="191"/>
      <c r="K252" s="191"/>
      <c r="L252" s="61">
        <f t="shared" si="24"/>
        <v>0</v>
      </c>
      <c r="M252" s="192"/>
      <c r="N252" s="193"/>
      <c r="O252" s="192"/>
      <c r="P252" s="194"/>
      <c r="Q252" s="195"/>
      <c r="R252" s="196"/>
      <c r="S252" s="197"/>
      <c r="T252" s="62">
        <f t="shared" si="25"/>
        <v>0</v>
      </c>
      <c r="U252" s="63">
        <f t="shared" si="26"/>
        <v>0</v>
      </c>
      <c r="V252" s="145">
        <f t="shared" si="27"/>
        <v>0</v>
      </c>
      <c r="W252" s="198"/>
      <c r="X252" s="1379"/>
      <c r="Y252" s="1380"/>
      <c r="Z252" s="62">
        <f t="shared" si="28"/>
        <v>0</v>
      </c>
      <c r="AA252" s="146">
        <f t="shared" si="29"/>
        <v>0</v>
      </c>
      <c r="AB252" s="198"/>
      <c r="AC252" s="1379"/>
      <c r="AD252" s="1380"/>
      <c r="AE252" s="62">
        <f t="shared" si="30"/>
        <v>0</v>
      </c>
      <c r="AF252" s="148">
        <f t="shared" si="31"/>
        <v>0</v>
      </c>
      <c r="AG252" s="198"/>
      <c r="AH252" s="1379"/>
      <c r="AI252" s="1380"/>
      <c r="AJ252"/>
      <c r="AK252"/>
      <c r="AL252"/>
      <c r="AM252"/>
      <c r="AN252"/>
    </row>
    <row r="253" spans="1:40" s="66" customFormat="1" ht="14.5">
      <c r="A253" s="186"/>
      <c r="B253" s="187"/>
      <c r="C253" s="188"/>
      <c r="D253" s="188"/>
      <c r="E253" s="189"/>
      <c r="F253" s="190"/>
      <c r="G253" s="190"/>
      <c r="H253" s="189"/>
      <c r="I253" s="189"/>
      <c r="J253" s="191"/>
      <c r="K253" s="191"/>
      <c r="L253" s="61">
        <f t="shared" si="24"/>
        <v>0</v>
      </c>
      <c r="M253" s="192"/>
      <c r="N253" s="193"/>
      <c r="O253" s="192"/>
      <c r="P253" s="194"/>
      <c r="Q253" s="195"/>
      <c r="R253" s="196"/>
      <c r="S253" s="197"/>
      <c r="T253" s="62">
        <f t="shared" si="25"/>
        <v>0</v>
      </c>
      <c r="U253" s="63">
        <f t="shared" si="26"/>
        <v>0</v>
      </c>
      <c r="V253" s="145">
        <f t="shared" si="27"/>
        <v>0</v>
      </c>
      <c r="W253" s="198"/>
      <c r="X253" s="1379"/>
      <c r="Y253" s="1380"/>
      <c r="Z253" s="62">
        <f t="shared" si="28"/>
        <v>0</v>
      </c>
      <c r="AA253" s="146">
        <f t="shared" si="29"/>
        <v>0</v>
      </c>
      <c r="AB253" s="198"/>
      <c r="AC253" s="1379"/>
      <c r="AD253" s="1380"/>
      <c r="AE253" s="62">
        <f t="shared" si="30"/>
        <v>0</v>
      </c>
      <c r="AF253" s="148">
        <f t="shared" si="31"/>
        <v>0</v>
      </c>
      <c r="AG253" s="198"/>
      <c r="AH253" s="1379"/>
      <c r="AI253" s="1380"/>
      <c r="AJ253"/>
      <c r="AK253"/>
      <c r="AL253"/>
      <c r="AM253"/>
      <c r="AN253"/>
    </row>
    <row r="254" spans="1:40" s="66" customFormat="1" ht="14.5">
      <c r="A254" s="186"/>
      <c r="B254" s="187"/>
      <c r="C254" s="188"/>
      <c r="D254" s="188"/>
      <c r="E254" s="189"/>
      <c r="F254" s="190"/>
      <c r="G254" s="190"/>
      <c r="H254" s="189"/>
      <c r="I254" s="189"/>
      <c r="J254" s="191"/>
      <c r="K254" s="191"/>
      <c r="L254" s="61">
        <f t="shared" si="24"/>
        <v>0</v>
      </c>
      <c r="M254" s="192"/>
      <c r="N254" s="193"/>
      <c r="O254" s="192"/>
      <c r="P254" s="194"/>
      <c r="Q254" s="195"/>
      <c r="R254" s="196"/>
      <c r="S254" s="197"/>
      <c r="T254" s="62">
        <f t="shared" si="25"/>
        <v>0</v>
      </c>
      <c r="U254" s="63">
        <f t="shared" si="26"/>
        <v>0</v>
      </c>
      <c r="V254" s="145">
        <f t="shared" si="27"/>
        <v>0</v>
      </c>
      <c r="W254" s="198"/>
      <c r="X254" s="1379"/>
      <c r="Y254" s="1380"/>
      <c r="Z254" s="62">
        <f t="shared" si="28"/>
        <v>0</v>
      </c>
      <c r="AA254" s="146">
        <f t="shared" si="29"/>
        <v>0</v>
      </c>
      <c r="AB254" s="198"/>
      <c r="AC254" s="1379"/>
      <c r="AD254" s="1380"/>
      <c r="AE254" s="62">
        <f t="shared" si="30"/>
        <v>0</v>
      </c>
      <c r="AF254" s="148">
        <f t="shared" si="31"/>
        <v>0</v>
      </c>
      <c r="AG254" s="198"/>
      <c r="AH254" s="1379"/>
      <c r="AI254" s="1380"/>
      <c r="AJ254"/>
      <c r="AK254"/>
      <c r="AL254"/>
      <c r="AM254"/>
      <c r="AN254"/>
    </row>
    <row r="255" spans="1:40" s="66" customFormat="1" ht="14.5">
      <c r="A255" s="186"/>
      <c r="B255" s="187"/>
      <c r="C255" s="188"/>
      <c r="D255" s="188"/>
      <c r="E255" s="189"/>
      <c r="F255" s="190"/>
      <c r="G255" s="190"/>
      <c r="H255" s="189"/>
      <c r="I255" s="189"/>
      <c r="J255" s="191"/>
      <c r="K255" s="191"/>
      <c r="L255" s="61">
        <f t="shared" si="24"/>
        <v>0</v>
      </c>
      <c r="M255" s="192"/>
      <c r="N255" s="193"/>
      <c r="O255" s="192"/>
      <c r="P255" s="194"/>
      <c r="Q255" s="195"/>
      <c r="R255" s="196"/>
      <c r="S255" s="197"/>
      <c r="T255" s="62">
        <f t="shared" si="25"/>
        <v>0</v>
      </c>
      <c r="U255" s="63">
        <f t="shared" si="26"/>
        <v>0</v>
      </c>
      <c r="V255" s="145">
        <f t="shared" si="27"/>
        <v>0</v>
      </c>
      <c r="W255" s="198"/>
      <c r="X255" s="1379"/>
      <c r="Y255" s="1380"/>
      <c r="Z255" s="62">
        <f t="shared" si="28"/>
        <v>0</v>
      </c>
      <c r="AA255" s="146">
        <f t="shared" si="29"/>
        <v>0</v>
      </c>
      <c r="AB255" s="198"/>
      <c r="AC255" s="1379"/>
      <c r="AD255" s="1380"/>
      <c r="AE255" s="62">
        <f t="shared" si="30"/>
        <v>0</v>
      </c>
      <c r="AF255" s="148">
        <f t="shared" si="31"/>
        <v>0</v>
      </c>
      <c r="AG255" s="198"/>
      <c r="AH255" s="1379"/>
      <c r="AI255" s="1380"/>
      <c r="AJ255"/>
      <c r="AK255"/>
      <c r="AL255"/>
      <c r="AM255"/>
      <c r="AN255"/>
    </row>
    <row r="256" spans="1:40" s="66" customFormat="1" ht="14.5">
      <c r="A256" s="186"/>
      <c r="B256" s="187"/>
      <c r="C256" s="188"/>
      <c r="D256" s="188"/>
      <c r="E256" s="189"/>
      <c r="F256" s="190"/>
      <c r="G256" s="190"/>
      <c r="H256" s="189"/>
      <c r="I256" s="189"/>
      <c r="J256" s="191"/>
      <c r="K256" s="191"/>
      <c r="L256" s="61">
        <f t="shared" si="24"/>
        <v>0</v>
      </c>
      <c r="M256" s="192"/>
      <c r="N256" s="193"/>
      <c r="O256" s="192"/>
      <c r="P256" s="194"/>
      <c r="Q256" s="195"/>
      <c r="R256" s="196"/>
      <c r="S256" s="197"/>
      <c r="T256" s="62">
        <f t="shared" si="25"/>
        <v>0</v>
      </c>
      <c r="U256" s="63">
        <f t="shared" si="26"/>
        <v>0</v>
      </c>
      <c r="V256" s="145">
        <f t="shared" si="27"/>
        <v>0</v>
      </c>
      <c r="W256" s="198"/>
      <c r="X256" s="1379"/>
      <c r="Y256" s="1380"/>
      <c r="Z256" s="62">
        <f t="shared" si="28"/>
        <v>0</v>
      </c>
      <c r="AA256" s="146">
        <f t="shared" si="29"/>
        <v>0</v>
      </c>
      <c r="AB256" s="198"/>
      <c r="AC256" s="1379"/>
      <c r="AD256" s="1380"/>
      <c r="AE256" s="62">
        <f t="shared" si="30"/>
        <v>0</v>
      </c>
      <c r="AF256" s="148">
        <f t="shared" si="31"/>
        <v>0</v>
      </c>
      <c r="AG256" s="198"/>
      <c r="AH256" s="1379"/>
      <c r="AI256" s="1380"/>
      <c r="AJ256"/>
      <c r="AK256"/>
      <c r="AL256"/>
      <c r="AM256"/>
      <c r="AN256"/>
    </row>
    <row r="257" spans="1:40" s="66" customFormat="1" ht="14.5">
      <c r="A257" s="186"/>
      <c r="B257" s="187"/>
      <c r="C257" s="188"/>
      <c r="D257" s="188"/>
      <c r="E257" s="189"/>
      <c r="F257" s="190"/>
      <c r="G257" s="190"/>
      <c r="H257" s="189"/>
      <c r="I257" s="189"/>
      <c r="J257" s="191"/>
      <c r="K257" s="191"/>
      <c r="L257" s="61">
        <f t="shared" si="24"/>
        <v>0</v>
      </c>
      <c r="M257" s="192"/>
      <c r="N257" s="193"/>
      <c r="O257" s="192"/>
      <c r="P257" s="194"/>
      <c r="Q257" s="195"/>
      <c r="R257" s="196"/>
      <c r="S257" s="197"/>
      <c r="T257" s="62">
        <f t="shared" si="25"/>
        <v>0</v>
      </c>
      <c r="U257" s="63">
        <f t="shared" si="26"/>
        <v>0</v>
      </c>
      <c r="V257" s="145">
        <f t="shared" si="27"/>
        <v>0</v>
      </c>
      <c r="W257" s="198"/>
      <c r="X257" s="1379"/>
      <c r="Y257" s="1380"/>
      <c r="Z257" s="62">
        <f t="shared" si="28"/>
        <v>0</v>
      </c>
      <c r="AA257" s="146">
        <f t="shared" si="29"/>
        <v>0</v>
      </c>
      <c r="AB257" s="198"/>
      <c r="AC257" s="1379"/>
      <c r="AD257" s="1380"/>
      <c r="AE257" s="62">
        <f t="shared" si="30"/>
        <v>0</v>
      </c>
      <c r="AF257" s="148">
        <f t="shared" si="31"/>
        <v>0</v>
      </c>
      <c r="AG257" s="198"/>
      <c r="AH257" s="1379"/>
      <c r="AI257" s="1380"/>
      <c r="AJ257"/>
      <c r="AK257"/>
      <c r="AL257"/>
      <c r="AM257"/>
      <c r="AN257"/>
    </row>
    <row r="258" spans="1:40" s="66" customFormat="1" ht="14.5">
      <c r="A258" s="186"/>
      <c r="B258" s="187"/>
      <c r="C258" s="188"/>
      <c r="D258" s="188"/>
      <c r="E258" s="189"/>
      <c r="F258" s="190"/>
      <c r="G258" s="190"/>
      <c r="H258" s="189"/>
      <c r="I258" s="189"/>
      <c r="J258" s="191"/>
      <c r="K258" s="191"/>
      <c r="L258" s="61">
        <f t="shared" si="24"/>
        <v>0</v>
      </c>
      <c r="M258" s="192"/>
      <c r="N258" s="193"/>
      <c r="O258" s="192"/>
      <c r="P258" s="194"/>
      <c r="Q258" s="195"/>
      <c r="R258" s="196"/>
      <c r="S258" s="197"/>
      <c r="T258" s="62">
        <f t="shared" si="25"/>
        <v>0</v>
      </c>
      <c r="U258" s="63">
        <f t="shared" si="26"/>
        <v>0</v>
      </c>
      <c r="V258" s="145">
        <f t="shared" si="27"/>
        <v>0</v>
      </c>
      <c r="W258" s="198"/>
      <c r="X258" s="1379"/>
      <c r="Y258" s="1380"/>
      <c r="Z258" s="62">
        <f t="shared" si="28"/>
        <v>0</v>
      </c>
      <c r="AA258" s="146">
        <f t="shared" si="29"/>
        <v>0</v>
      </c>
      <c r="AB258" s="198"/>
      <c r="AC258" s="1379"/>
      <c r="AD258" s="1380"/>
      <c r="AE258" s="62">
        <f t="shared" si="30"/>
        <v>0</v>
      </c>
      <c r="AF258" s="148">
        <f t="shared" si="31"/>
        <v>0</v>
      </c>
      <c r="AG258" s="198"/>
      <c r="AH258" s="1379"/>
      <c r="AI258" s="1380"/>
      <c r="AJ258"/>
      <c r="AK258"/>
      <c r="AL258"/>
      <c r="AM258"/>
      <c r="AN258"/>
    </row>
    <row r="259" spans="1:40" s="66" customFormat="1" ht="14.5">
      <c r="A259" s="186"/>
      <c r="B259" s="187"/>
      <c r="C259" s="188"/>
      <c r="D259" s="188"/>
      <c r="E259" s="189"/>
      <c r="F259" s="190"/>
      <c r="G259" s="190"/>
      <c r="H259" s="189"/>
      <c r="I259" s="189"/>
      <c r="J259" s="191"/>
      <c r="K259" s="191"/>
      <c r="L259" s="61">
        <f t="shared" si="24"/>
        <v>0</v>
      </c>
      <c r="M259" s="192"/>
      <c r="N259" s="193"/>
      <c r="O259" s="192"/>
      <c r="P259" s="194"/>
      <c r="Q259" s="195"/>
      <c r="R259" s="196"/>
      <c r="S259" s="197"/>
      <c r="T259" s="62">
        <f t="shared" si="25"/>
        <v>0</v>
      </c>
      <c r="U259" s="63">
        <f t="shared" si="26"/>
        <v>0</v>
      </c>
      <c r="V259" s="145">
        <f t="shared" si="27"/>
        <v>0</v>
      </c>
      <c r="W259" s="198"/>
      <c r="X259" s="1379"/>
      <c r="Y259" s="1380"/>
      <c r="Z259" s="62">
        <f t="shared" si="28"/>
        <v>0</v>
      </c>
      <c r="AA259" s="146">
        <f t="shared" si="29"/>
        <v>0</v>
      </c>
      <c r="AB259" s="198"/>
      <c r="AC259" s="1379"/>
      <c r="AD259" s="1380"/>
      <c r="AE259" s="62">
        <f t="shared" si="30"/>
        <v>0</v>
      </c>
      <c r="AF259" s="148">
        <f t="shared" si="31"/>
        <v>0</v>
      </c>
      <c r="AG259" s="198"/>
      <c r="AH259" s="1379"/>
      <c r="AI259" s="1380"/>
      <c r="AJ259"/>
      <c r="AK259"/>
      <c r="AL259"/>
      <c r="AM259"/>
      <c r="AN259"/>
    </row>
    <row r="260" spans="1:40" s="66" customFormat="1" ht="14.5">
      <c r="A260" s="186"/>
      <c r="B260" s="187"/>
      <c r="C260" s="188"/>
      <c r="D260" s="188"/>
      <c r="E260" s="189"/>
      <c r="F260" s="190"/>
      <c r="G260" s="190"/>
      <c r="H260" s="189"/>
      <c r="I260" s="189"/>
      <c r="J260" s="191"/>
      <c r="K260" s="191"/>
      <c r="L260" s="61">
        <f t="shared" si="24"/>
        <v>0</v>
      </c>
      <c r="M260" s="192"/>
      <c r="N260" s="193"/>
      <c r="O260" s="192"/>
      <c r="P260" s="194"/>
      <c r="Q260" s="195"/>
      <c r="R260" s="196"/>
      <c r="S260" s="197"/>
      <c r="T260" s="62">
        <f t="shared" si="25"/>
        <v>0</v>
      </c>
      <c r="U260" s="63">
        <f t="shared" si="26"/>
        <v>0</v>
      </c>
      <c r="V260" s="145">
        <f t="shared" si="27"/>
        <v>0</v>
      </c>
      <c r="W260" s="198"/>
      <c r="X260" s="1379"/>
      <c r="Y260" s="1380"/>
      <c r="Z260" s="62">
        <f t="shared" si="28"/>
        <v>0</v>
      </c>
      <c r="AA260" s="146">
        <f t="shared" si="29"/>
        <v>0</v>
      </c>
      <c r="AB260" s="198"/>
      <c r="AC260" s="1379"/>
      <c r="AD260" s="1380"/>
      <c r="AE260" s="62">
        <f t="shared" si="30"/>
        <v>0</v>
      </c>
      <c r="AF260" s="148">
        <f t="shared" si="31"/>
        <v>0</v>
      </c>
      <c r="AG260" s="198"/>
      <c r="AH260" s="1379"/>
      <c r="AI260" s="1380"/>
      <c r="AJ260"/>
      <c r="AK260"/>
      <c r="AL260"/>
      <c r="AM260"/>
      <c r="AN260"/>
    </row>
    <row r="261" spans="1:40" s="66" customFormat="1" ht="14.5">
      <c r="A261" s="186"/>
      <c r="B261" s="187"/>
      <c r="C261" s="188"/>
      <c r="D261" s="188"/>
      <c r="E261" s="189"/>
      <c r="F261" s="190"/>
      <c r="G261" s="190"/>
      <c r="H261" s="189"/>
      <c r="I261" s="189"/>
      <c r="J261" s="191"/>
      <c r="K261" s="191"/>
      <c r="L261" s="61">
        <f t="shared" si="24"/>
        <v>0</v>
      </c>
      <c r="M261" s="192"/>
      <c r="N261" s="193"/>
      <c r="O261" s="192"/>
      <c r="P261" s="194"/>
      <c r="Q261" s="195"/>
      <c r="R261" s="196"/>
      <c r="S261" s="197"/>
      <c r="T261" s="62">
        <f t="shared" si="25"/>
        <v>0</v>
      </c>
      <c r="U261" s="63">
        <f t="shared" si="26"/>
        <v>0</v>
      </c>
      <c r="V261" s="145">
        <f t="shared" si="27"/>
        <v>0</v>
      </c>
      <c r="W261" s="198"/>
      <c r="X261" s="1379"/>
      <c r="Y261" s="1380"/>
      <c r="Z261" s="62">
        <f t="shared" si="28"/>
        <v>0</v>
      </c>
      <c r="AA261" s="146">
        <f t="shared" si="29"/>
        <v>0</v>
      </c>
      <c r="AB261" s="198"/>
      <c r="AC261" s="1379"/>
      <c r="AD261" s="1380"/>
      <c r="AE261" s="62">
        <f t="shared" si="30"/>
        <v>0</v>
      </c>
      <c r="AF261" s="148">
        <f t="shared" si="31"/>
        <v>0</v>
      </c>
      <c r="AG261" s="198"/>
      <c r="AH261" s="1379"/>
      <c r="AI261" s="1380"/>
      <c r="AJ261"/>
      <c r="AK261"/>
      <c r="AL261"/>
      <c r="AM261"/>
      <c r="AN261"/>
    </row>
    <row r="262" spans="1:40" s="66" customFormat="1" ht="14.5">
      <c r="A262" s="186"/>
      <c r="B262" s="187"/>
      <c r="C262" s="188"/>
      <c r="D262" s="188"/>
      <c r="E262" s="189"/>
      <c r="F262" s="190"/>
      <c r="G262" s="190"/>
      <c r="H262" s="189"/>
      <c r="I262" s="189"/>
      <c r="J262" s="191"/>
      <c r="K262" s="191"/>
      <c r="L262" s="61">
        <f t="shared" si="24"/>
        <v>0</v>
      </c>
      <c r="M262" s="192"/>
      <c r="N262" s="193"/>
      <c r="O262" s="192"/>
      <c r="P262" s="194"/>
      <c r="Q262" s="195"/>
      <c r="R262" s="196"/>
      <c r="S262" s="197"/>
      <c r="T262" s="62">
        <f t="shared" si="25"/>
        <v>0</v>
      </c>
      <c r="U262" s="63">
        <f t="shared" si="26"/>
        <v>0</v>
      </c>
      <c r="V262" s="145">
        <f t="shared" si="27"/>
        <v>0</v>
      </c>
      <c r="W262" s="198"/>
      <c r="X262" s="1379"/>
      <c r="Y262" s="1380"/>
      <c r="Z262" s="62">
        <f t="shared" si="28"/>
        <v>0</v>
      </c>
      <c r="AA262" s="146">
        <f t="shared" si="29"/>
        <v>0</v>
      </c>
      <c r="AB262" s="198"/>
      <c r="AC262" s="1379"/>
      <c r="AD262" s="1380"/>
      <c r="AE262" s="62">
        <f t="shared" si="30"/>
        <v>0</v>
      </c>
      <c r="AF262" s="148">
        <f t="shared" si="31"/>
        <v>0</v>
      </c>
      <c r="AG262" s="198"/>
      <c r="AH262" s="1379"/>
      <c r="AI262" s="1380"/>
      <c r="AJ262"/>
      <c r="AK262"/>
      <c r="AL262"/>
      <c r="AM262"/>
      <c r="AN262"/>
    </row>
    <row r="263" spans="1:40" s="66" customFormat="1" ht="14.5">
      <c r="A263" s="186"/>
      <c r="B263" s="187"/>
      <c r="C263" s="188"/>
      <c r="D263" s="188"/>
      <c r="E263" s="189"/>
      <c r="F263" s="190"/>
      <c r="G263" s="190"/>
      <c r="H263" s="189"/>
      <c r="I263" s="189"/>
      <c r="J263" s="191"/>
      <c r="K263" s="191"/>
      <c r="L263" s="61">
        <f t="shared" si="24"/>
        <v>0</v>
      </c>
      <c r="M263" s="192"/>
      <c r="N263" s="193"/>
      <c r="O263" s="192"/>
      <c r="P263" s="194"/>
      <c r="Q263" s="195"/>
      <c r="R263" s="196"/>
      <c r="S263" s="197"/>
      <c r="T263" s="62">
        <f t="shared" si="25"/>
        <v>0</v>
      </c>
      <c r="U263" s="63">
        <f t="shared" si="26"/>
        <v>0</v>
      </c>
      <c r="V263" s="145">
        <f t="shared" si="27"/>
        <v>0</v>
      </c>
      <c r="W263" s="198"/>
      <c r="X263" s="1379"/>
      <c r="Y263" s="1380"/>
      <c r="Z263" s="62">
        <f t="shared" si="28"/>
        <v>0</v>
      </c>
      <c r="AA263" s="146">
        <f t="shared" si="29"/>
        <v>0</v>
      </c>
      <c r="AB263" s="198"/>
      <c r="AC263" s="1379"/>
      <c r="AD263" s="1380"/>
      <c r="AE263" s="62">
        <f t="shared" si="30"/>
        <v>0</v>
      </c>
      <c r="AF263" s="148">
        <f t="shared" si="31"/>
        <v>0</v>
      </c>
      <c r="AG263" s="198"/>
      <c r="AH263" s="1379"/>
      <c r="AI263" s="1380"/>
      <c r="AJ263"/>
      <c r="AK263"/>
      <c r="AL263"/>
      <c r="AM263"/>
      <c r="AN263"/>
    </row>
    <row r="264" spans="1:40" s="66" customFormat="1" ht="14.5">
      <c r="A264" s="186"/>
      <c r="B264" s="187"/>
      <c r="C264" s="188"/>
      <c r="D264" s="188"/>
      <c r="E264" s="189"/>
      <c r="F264" s="190"/>
      <c r="G264" s="190"/>
      <c r="H264" s="189"/>
      <c r="I264" s="189"/>
      <c r="J264" s="191"/>
      <c r="K264" s="191"/>
      <c r="L264" s="61">
        <f t="shared" si="24"/>
        <v>0</v>
      </c>
      <c r="M264" s="192"/>
      <c r="N264" s="193"/>
      <c r="O264" s="192"/>
      <c r="P264" s="194"/>
      <c r="Q264" s="195"/>
      <c r="R264" s="196"/>
      <c r="S264" s="197"/>
      <c r="T264" s="62">
        <f t="shared" si="25"/>
        <v>0</v>
      </c>
      <c r="U264" s="63">
        <f t="shared" si="26"/>
        <v>0</v>
      </c>
      <c r="V264" s="145">
        <f t="shared" si="27"/>
        <v>0</v>
      </c>
      <c r="W264" s="198"/>
      <c r="X264" s="1379"/>
      <c r="Y264" s="1380"/>
      <c r="Z264" s="62">
        <f t="shared" si="28"/>
        <v>0</v>
      </c>
      <c r="AA264" s="146">
        <f t="shared" si="29"/>
        <v>0</v>
      </c>
      <c r="AB264" s="198"/>
      <c r="AC264" s="1379"/>
      <c r="AD264" s="1380"/>
      <c r="AE264" s="62">
        <f t="shared" si="30"/>
        <v>0</v>
      </c>
      <c r="AF264" s="148">
        <f t="shared" si="31"/>
        <v>0</v>
      </c>
      <c r="AG264" s="198"/>
      <c r="AH264" s="1379"/>
      <c r="AI264" s="1380"/>
      <c r="AJ264"/>
      <c r="AK264"/>
      <c r="AL264"/>
      <c r="AM264"/>
      <c r="AN264"/>
    </row>
    <row r="265" spans="1:40" s="66" customFormat="1" ht="14.5">
      <c r="A265" s="186"/>
      <c r="B265" s="187"/>
      <c r="C265" s="188"/>
      <c r="D265" s="188"/>
      <c r="E265" s="189"/>
      <c r="F265" s="190"/>
      <c r="G265" s="190"/>
      <c r="H265" s="189"/>
      <c r="I265" s="189"/>
      <c r="J265" s="191"/>
      <c r="K265" s="191"/>
      <c r="L265" s="61">
        <f t="shared" si="24"/>
        <v>0</v>
      </c>
      <c r="M265" s="192"/>
      <c r="N265" s="193"/>
      <c r="O265" s="192"/>
      <c r="P265" s="194"/>
      <c r="Q265" s="195"/>
      <c r="R265" s="196"/>
      <c r="S265" s="197"/>
      <c r="T265" s="62">
        <f t="shared" si="25"/>
        <v>0</v>
      </c>
      <c r="U265" s="63">
        <f t="shared" si="26"/>
        <v>0</v>
      </c>
      <c r="V265" s="145">
        <f t="shared" si="27"/>
        <v>0</v>
      </c>
      <c r="W265" s="198"/>
      <c r="X265" s="1379"/>
      <c r="Y265" s="1380"/>
      <c r="Z265" s="62">
        <f t="shared" si="28"/>
        <v>0</v>
      </c>
      <c r="AA265" s="146">
        <f t="shared" si="29"/>
        <v>0</v>
      </c>
      <c r="AB265" s="198"/>
      <c r="AC265" s="1379"/>
      <c r="AD265" s="1380"/>
      <c r="AE265" s="62">
        <f t="shared" si="30"/>
        <v>0</v>
      </c>
      <c r="AF265" s="148">
        <f t="shared" si="31"/>
        <v>0</v>
      </c>
      <c r="AG265" s="198"/>
      <c r="AH265" s="1379"/>
      <c r="AI265" s="1380"/>
      <c r="AJ265"/>
      <c r="AK265"/>
      <c r="AL265"/>
      <c r="AM265"/>
      <c r="AN265"/>
    </row>
    <row r="266" spans="1:40" s="66" customFormat="1" ht="14.5">
      <c r="A266" s="186"/>
      <c r="B266" s="187"/>
      <c r="C266" s="188"/>
      <c r="D266" s="188"/>
      <c r="E266" s="189"/>
      <c r="F266" s="190"/>
      <c r="G266" s="190"/>
      <c r="H266" s="189"/>
      <c r="I266" s="189"/>
      <c r="J266" s="191"/>
      <c r="K266" s="191"/>
      <c r="L266" s="61">
        <f t="shared" si="24"/>
        <v>0</v>
      </c>
      <c r="M266" s="192"/>
      <c r="N266" s="193"/>
      <c r="O266" s="192"/>
      <c r="P266" s="194"/>
      <c r="Q266" s="195"/>
      <c r="R266" s="196"/>
      <c r="S266" s="197"/>
      <c r="T266" s="62">
        <f t="shared" si="25"/>
        <v>0</v>
      </c>
      <c r="U266" s="63">
        <f t="shared" si="26"/>
        <v>0</v>
      </c>
      <c r="V266" s="145">
        <f t="shared" si="27"/>
        <v>0</v>
      </c>
      <c r="W266" s="198"/>
      <c r="X266" s="1379"/>
      <c r="Y266" s="1380"/>
      <c r="Z266" s="62">
        <f t="shared" si="28"/>
        <v>0</v>
      </c>
      <c r="AA266" s="146">
        <f t="shared" si="29"/>
        <v>0</v>
      </c>
      <c r="AB266" s="198"/>
      <c r="AC266" s="1379"/>
      <c r="AD266" s="1380"/>
      <c r="AE266" s="62">
        <f t="shared" si="30"/>
        <v>0</v>
      </c>
      <c r="AF266" s="148">
        <f t="shared" si="31"/>
        <v>0</v>
      </c>
      <c r="AG266" s="198"/>
      <c r="AH266" s="1379"/>
      <c r="AI266" s="1380"/>
      <c r="AJ266"/>
      <c r="AK266"/>
      <c r="AL266"/>
      <c r="AM266"/>
      <c r="AN266"/>
    </row>
    <row r="267" spans="1:40" s="66" customFormat="1" ht="14.5">
      <c r="A267" s="186"/>
      <c r="B267" s="187"/>
      <c r="C267" s="188"/>
      <c r="D267" s="188"/>
      <c r="E267" s="189"/>
      <c r="F267" s="190"/>
      <c r="G267" s="190"/>
      <c r="H267" s="189"/>
      <c r="I267" s="189"/>
      <c r="J267" s="191"/>
      <c r="K267" s="191"/>
      <c r="L267" s="61">
        <f t="shared" si="24"/>
        <v>0</v>
      </c>
      <c r="M267" s="192"/>
      <c r="N267" s="193"/>
      <c r="O267" s="192"/>
      <c r="P267" s="194"/>
      <c r="Q267" s="195"/>
      <c r="R267" s="196"/>
      <c r="S267" s="197"/>
      <c r="T267" s="62">
        <f t="shared" si="25"/>
        <v>0</v>
      </c>
      <c r="U267" s="63">
        <f t="shared" si="26"/>
        <v>0</v>
      </c>
      <c r="V267" s="145">
        <f t="shared" si="27"/>
        <v>0</v>
      </c>
      <c r="W267" s="198"/>
      <c r="X267" s="1379"/>
      <c r="Y267" s="1380"/>
      <c r="Z267" s="62">
        <f t="shared" si="28"/>
        <v>0</v>
      </c>
      <c r="AA267" s="146">
        <f t="shared" si="29"/>
        <v>0</v>
      </c>
      <c r="AB267" s="198"/>
      <c r="AC267" s="1379"/>
      <c r="AD267" s="1380"/>
      <c r="AE267" s="62">
        <f t="shared" si="30"/>
        <v>0</v>
      </c>
      <c r="AF267" s="148">
        <f t="shared" si="31"/>
        <v>0</v>
      </c>
      <c r="AG267" s="198"/>
      <c r="AH267" s="1379"/>
      <c r="AI267" s="1380"/>
      <c r="AJ267"/>
      <c r="AK267"/>
      <c r="AL267"/>
      <c r="AM267"/>
      <c r="AN267"/>
    </row>
    <row r="268" spans="1:40" s="66" customFormat="1" ht="14.5">
      <c r="A268" s="186"/>
      <c r="B268" s="187"/>
      <c r="C268" s="188"/>
      <c r="D268" s="188"/>
      <c r="E268" s="189"/>
      <c r="F268" s="190"/>
      <c r="G268" s="190"/>
      <c r="H268" s="189"/>
      <c r="I268" s="189"/>
      <c r="J268" s="191"/>
      <c r="K268" s="191"/>
      <c r="L268" s="61">
        <f t="shared" si="24"/>
        <v>0</v>
      </c>
      <c r="M268" s="192"/>
      <c r="N268" s="193"/>
      <c r="O268" s="192"/>
      <c r="P268" s="194"/>
      <c r="Q268" s="195"/>
      <c r="R268" s="196"/>
      <c r="S268" s="197"/>
      <c r="T268" s="62">
        <f t="shared" si="25"/>
        <v>0</v>
      </c>
      <c r="U268" s="63">
        <f t="shared" si="26"/>
        <v>0</v>
      </c>
      <c r="V268" s="145">
        <f t="shared" si="27"/>
        <v>0</v>
      </c>
      <c r="W268" s="198"/>
      <c r="X268" s="1379"/>
      <c r="Y268" s="1380"/>
      <c r="Z268" s="62">
        <f t="shared" si="28"/>
        <v>0</v>
      </c>
      <c r="AA268" s="146">
        <f t="shared" si="29"/>
        <v>0</v>
      </c>
      <c r="AB268" s="198"/>
      <c r="AC268" s="1379"/>
      <c r="AD268" s="1380"/>
      <c r="AE268" s="62">
        <f t="shared" si="30"/>
        <v>0</v>
      </c>
      <c r="AF268" s="148">
        <f t="shared" si="31"/>
        <v>0</v>
      </c>
      <c r="AG268" s="198"/>
      <c r="AH268" s="1379"/>
      <c r="AI268" s="1380"/>
      <c r="AJ268"/>
      <c r="AK268"/>
      <c r="AL268"/>
      <c r="AM268"/>
      <c r="AN268"/>
    </row>
    <row r="269" spans="1:40" s="66" customFormat="1" ht="14.5">
      <c r="A269" s="186"/>
      <c r="B269" s="187"/>
      <c r="C269" s="188"/>
      <c r="D269" s="188"/>
      <c r="E269" s="189"/>
      <c r="F269" s="190"/>
      <c r="G269" s="190"/>
      <c r="H269" s="189"/>
      <c r="I269" s="189"/>
      <c r="J269" s="191"/>
      <c r="K269" s="191"/>
      <c r="L269" s="61">
        <f t="shared" si="24"/>
        <v>0</v>
      </c>
      <c r="M269" s="192"/>
      <c r="N269" s="193"/>
      <c r="O269" s="192"/>
      <c r="P269" s="194"/>
      <c r="Q269" s="195"/>
      <c r="R269" s="196"/>
      <c r="S269" s="197"/>
      <c r="T269" s="62">
        <f t="shared" si="25"/>
        <v>0</v>
      </c>
      <c r="U269" s="63">
        <f t="shared" si="26"/>
        <v>0</v>
      </c>
      <c r="V269" s="145">
        <f t="shared" si="27"/>
        <v>0</v>
      </c>
      <c r="W269" s="198"/>
      <c r="X269" s="1379"/>
      <c r="Y269" s="1380"/>
      <c r="Z269" s="62">
        <f t="shared" si="28"/>
        <v>0</v>
      </c>
      <c r="AA269" s="146">
        <f t="shared" si="29"/>
        <v>0</v>
      </c>
      <c r="AB269" s="198"/>
      <c r="AC269" s="1379"/>
      <c r="AD269" s="1380"/>
      <c r="AE269" s="62">
        <f t="shared" si="30"/>
        <v>0</v>
      </c>
      <c r="AF269" s="148">
        <f t="shared" si="31"/>
        <v>0</v>
      </c>
      <c r="AG269" s="198"/>
      <c r="AH269" s="1379"/>
      <c r="AI269" s="1380"/>
      <c r="AJ269"/>
      <c r="AK269"/>
      <c r="AL269"/>
      <c r="AM269"/>
      <c r="AN269"/>
    </row>
    <row r="270" spans="1:40" s="66" customFormat="1" ht="14.5">
      <c r="A270" s="186"/>
      <c r="B270" s="187"/>
      <c r="C270" s="188"/>
      <c r="D270" s="188"/>
      <c r="E270" s="189"/>
      <c r="F270" s="190"/>
      <c r="G270" s="190"/>
      <c r="H270" s="189"/>
      <c r="I270" s="189"/>
      <c r="J270" s="191"/>
      <c r="K270" s="191"/>
      <c r="L270" s="61">
        <f t="shared" ref="L270:L333" si="32">IF(I270=0,0,(K270+J270)/I270)</f>
        <v>0</v>
      </c>
      <c r="M270" s="192"/>
      <c r="N270" s="193"/>
      <c r="O270" s="192"/>
      <c r="P270" s="194"/>
      <c r="Q270" s="195"/>
      <c r="R270" s="196"/>
      <c r="S270" s="197"/>
      <c r="T270" s="62">
        <f t="shared" ref="T270:T333" si="33">IF(S270=0,0,((S270*Q270)-Z270))</f>
        <v>0</v>
      </c>
      <c r="U270" s="63">
        <f t="shared" ref="U270:U333" si="34">+Q270-I270</f>
        <v>0</v>
      </c>
      <c r="V270" s="145">
        <f t="shared" ref="V270:V333" si="35">(T270-J270)</f>
        <v>0</v>
      </c>
      <c r="W270" s="198"/>
      <c r="X270" s="1379"/>
      <c r="Y270" s="1380"/>
      <c r="Z270" s="62">
        <f t="shared" ref="Z270:Z333" si="36">IF(I270=0,0,M270/H270*Q270)</f>
        <v>0</v>
      </c>
      <c r="AA270" s="146">
        <f t="shared" ref="AA270:AA333" si="37">+Z270-O270</f>
        <v>0</v>
      </c>
      <c r="AB270" s="198"/>
      <c r="AC270" s="1379"/>
      <c r="AD270" s="1380"/>
      <c r="AE270" s="62">
        <f t="shared" ref="AE270:AE333" si="38">IF(H270=0, 0, N270 / H270 * R270)</f>
        <v>0</v>
      </c>
      <c r="AF270" s="148">
        <f t="shared" ref="AF270:AF333" si="39">+AE270-P270</f>
        <v>0</v>
      </c>
      <c r="AG270" s="198"/>
      <c r="AH270" s="1379"/>
      <c r="AI270" s="1380"/>
      <c r="AJ270"/>
      <c r="AK270"/>
      <c r="AL270"/>
      <c r="AM270"/>
      <c r="AN270"/>
    </row>
    <row r="271" spans="1:40" s="66" customFormat="1" ht="14.5">
      <c r="A271" s="186"/>
      <c r="B271" s="187"/>
      <c r="C271" s="188"/>
      <c r="D271" s="188"/>
      <c r="E271" s="189"/>
      <c r="F271" s="190"/>
      <c r="G271" s="190"/>
      <c r="H271" s="189"/>
      <c r="I271" s="189"/>
      <c r="J271" s="191"/>
      <c r="K271" s="191"/>
      <c r="L271" s="61">
        <f t="shared" si="32"/>
        <v>0</v>
      </c>
      <c r="M271" s="192"/>
      <c r="N271" s="193"/>
      <c r="O271" s="192"/>
      <c r="P271" s="194"/>
      <c r="Q271" s="195"/>
      <c r="R271" s="196"/>
      <c r="S271" s="197"/>
      <c r="T271" s="62">
        <f t="shared" si="33"/>
        <v>0</v>
      </c>
      <c r="U271" s="63">
        <f t="shared" si="34"/>
        <v>0</v>
      </c>
      <c r="V271" s="145">
        <f t="shared" si="35"/>
        <v>0</v>
      </c>
      <c r="W271" s="198"/>
      <c r="X271" s="1379"/>
      <c r="Y271" s="1380"/>
      <c r="Z271" s="62">
        <f t="shared" si="36"/>
        <v>0</v>
      </c>
      <c r="AA271" s="146">
        <f t="shared" si="37"/>
        <v>0</v>
      </c>
      <c r="AB271" s="198"/>
      <c r="AC271" s="1379"/>
      <c r="AD271" s="1380"/>
      <c r="AE271" s="62">
        <f t="shared" si="38"/>
        <v>0</v>
      </c>
      <c r="AF271" s="148">
        <f t="shared" si="39"/>
        <v>0</v>
      </c>
      <c r="AG271" s="198"/>
      <c r="AH271" s="1379"/>
      <c r="AI271" s="1380"/>
      <c r="AJ271"/>
      <c r="AK271"/>
      <c r="AL271"/>
      <c r="AM271"/>
      <c r="AN271"/>
    </row>
    <row r="272" spans="1:40" s="66" customFormat="1" ht="14.5">
      <c r="A272" s="186"/>
      <c r="B272" s="187"/>
      <c r="C272" s="188"/>
      <c r="D272" s="188"/>
      <c r="E272" s="189"/>
      <c r="F272" s="190"/>
      <c r="G272" s="190"/>
      <c r="H272" s="189"/>
      <c r="I272" s="189"/>
      <c r="J272" s="191"/>
      <c r="K272" s="191"/>
      <c r="L272" s="61">
        <f t="shared" si="32"/>
        <v>0</v>
      </c>
      <c r="M272" s="192"/>
      <c r="N272" s="193"/>
      <c r="O272" s="192"/>
      <c r="P272" s="194"/>
      <c r="Q272" s="195"/>
      <c r="R272" s="196"/>
      <c r="S272" s="197"/>
      <c r="T272" s="62">
        <f t="shared" si="33"/>
        <v>0</v>
      </c>
      <c r="U272" s="63">
        <f t="shared" si="34"/>
        <v>0</v>
      </c>
      <c r="V272" s="145">
        <f t="shared" si="35"/>
        <v>0</v>
      </c>
      <c r="W272" s="198"/>
      <c r="X272" s="1379"/>
      <c r="Y272" s="1380"/>
      <c r="Z272" s="62">
        <f t="shared" si="36"/>
        <v>0</v>
      </c>
      <c r="AA272" s="146">
        <f t="shared" si="37"/>
        <v>0</v>
      </c>
      <c r="AB272" s="198"/>
      <c r="AC272" s="1379"/>
      <c r="AD272" s="1380"/>
      <c r="AE272" s="62">
        <f t="shared" si="38"/>
        <v>0</v>
      </c>
      <c r="AF272" s="148">
        <f t="shared" si="39"/>
        <v>0</v>
      </c>
      <c r="AG272" s="198"/>
      <c r="AH272" s="1379"/>
      <c r="AI272" s="1380"/>
      <c r="AJ272"/>
      <c r="AK272"/>
      <c r="AL272"/>
      <c r="AM272"/>
      <c r="AN272"/>
    </row>
    <row r="273" spans="1:40" s="66" customFormat="1" ht="14.5">
      <c r="A273" s="186"/>
      <c r="B273" s="187"/>
      <c r="C273" s="188"/>
      <c r="D273" s="188"/>
      <c r="E273" s="189"/>
      <c r="F273" s="190"/>
      <c r="G273" s="190"/>
      <c r="H273" s="189"/>
      <c r="I273" s="189"/>
      <c r="J273" s="191"/>
      <c r="K273" s="191"/>
      <c r="L273" s="61">
        <f t="shared" si="32"/>
        <v>0</v>
      </c>
      <c r="M273" s="192"/>
      <c r="N273" s="193"/>
      <c r="O273" s="192"/>
      <c r="P273" s="194"/>
      <c r="Q273" s="195"/>
      <c r="R273" s="196"/>
      <c r="S273" s="197"/>
      <c r="T273" s="62">
        <f t="shared" si="33"/>
        <v>0</v>
      </c>
      <c r="U273" s="63">
        <f t="shared" si="34"/>
        <v>0</v>
      </c>
      <c r="V273" s="145">
        <f t="shared" si="35"/>
        <v>0</v>
      </c>
      <c r="W273" s="198"/>
      <c r="X273" s="1379"/>
      <c r="Y273" s="1380"/>
      <c r="Z273" s="62">
        <f t="shared" si="36"/>
        <v>0</v>
      </c>
      <c r="AA273" s="146">
        <f t="shared" si="37"/>
        <v>0</v>
      </c>
      <c r="AB273" s="198"/>
      <c r="AC273" s="1379"/>
      <c r="AD273" s="1380"/>
      <c r="AE273" s="62">
        <f t="shared" si="38"/>
        <v>0</v>
      </c>
      <c r="AF273" s="148">
        <f t="shared" si="39"/>
        <v>0</v>
      </c>
      <c r="AG273" s="198"/>
      <c r="AH273" s="1379"/>
      <c r="AI273" s="1380"/>
      <c r="AJ273"/>
      <c r="AK273"/>
      <c r="AL273"/>
      <c r="AM273"/>
      <c r="AN273"/>
    </row>
    <row r="274" spans="1:40" s="66" customFormat="1" ht="14.5">
      <c r="A274" s="186"/>
      <c r="B274" s="187"/>
      <c r="C274" s="188"/>
      <c r="D274" s="188"/>
      <c r="E274" s="189"/>
      <c r="F274" s="190"/>
      <c r="G274" s="190"/>
      <c r="H274" s="189"/>
      <c r="I274" s="189"/>
      <c r="J274" s="191"/>
      <c r="K274" s="191"/>
      <c r="L274" s="61">
        <f t="shared" si="32"/>
        <v>0</v>
      </c>
      <c r="M274" s="192"/>
      <c r="N274" s="193"/>
      <c r="O274" s="192"/>
      <c r="P274" s="194"/>
      <c r="Q274" s="195"/>
      <c r="R274" s="196"/>
      <c r="S274" s="197"/>
      <c r="T274" s="62">
        <f t="shared" si="33"/>
        <v>0</v>
      </c>
      <c r="U274" s="63">
        <f t="shared" si="34"/>
        <v>0</v>
      </c>
      <c r="V274" s="145">
        <f t="shared" si="35"/>
        <v>0</v>
      </c>
      <c r="W274" s="198"/>
      <c r="X274" s="1379"/>
      <c r="Y274" s="1380"/>
      <c r="Z274" s="62">
        <f t="shared" si="36"/>
        <v>0</v>
      </c>
      <c r="AA274" s="146">
        <f t="shared" si="37"/>
        <v>0</v>
      </c>
      <c r="AB274" s="198"/>
      <c r="AC274" s="1379"/>
      <c r="AD274" s="1380"/>
      <c r="AE274" s="62">
        <f t="shared" si="38"/>
        <v>0</v>
      </c>
      <c r="AF274" s="148">
        <f t="shared" si="39"/>
        <v>0</v>
      </c>
      <c r="AG274" s="198"/>
      <c r="AH274" s="1379"/>
      <c r="AI274" s="1380"/>
      <c r="AJ274"/>
      <c r="AK274"/>
      <c r="AL274"/>
      <c r="AM274"/>
      <c r="AN274"/>
    </row>
    <row r="275" spans="1:40" s="66" customFormat="1" ht="14.5">
      <c r="A275" s="186"/>
      <c r="B275" s="187"/>
      <c r="C275" s="188"/>
      <c r="D275" s="188"/>
      <c r="E275" s="189"/>
      <c r="F275" s="190"/>
      <c r="G275" s="190"/>
      <c r="H275" s="189"/>
      <c r="I275" s="189"/>
      <c r="J275" s="191"/>
      <c r="K275" s="191"/>
      <c r="L275" s="61">
        <f t="shared" si="32"/>
        <v>0</v>
      </c>
      <c r="M275" s="192"/>
      <c r="N275" s="193"/>
      <c r="O275" s="192"/>
      <c r="P275" s="194"/>
      <c r="Q275" s="195"/>
      <c r="R275" s="196"/>
      <c r="S275" s="197"/>
      <c r="T275" s="62">
        <f t="shared" si="33"/>
        <v>0</v>
      </c>
      <c r="U275" s="63">
        <f t="shared" si="34"/>
        <v>0</v>
      </c>
      <c r="V275" s="145">
        <f t="shared" si="35"/>
        <v>0</v>
      </c>
      <c r="W275" s="198"/>
      <c r="X275" s="1379"/>
      <c r="Y275" s="1380"/>
      <c r="Z275" s="62">
        <f t="shared" si="36"/>
        <v>0</v>
      </c>
      <c r="AA275" s="146">
        <f t="shared" si="37"/>
        <v>0</v>
      </c>
      <c r="AB275" s="198"/>
      <c r="AC275" s="1379"/>
      <c r="AD275" s="1380"/>
      <c r="AE275" s="62">
        <f t="shared" si="38"/>
        <v>0</v>
      </c>
      <c r="AF275" s="148">
        <f t="shared" si="39"/>
        <v>0</v>
      </c>
      <c r="AG275" s="198"/>
      <c r="AH275" s="1379"/>
      <c r="AI275" s="1380"/>
      <c r="AJ275"/>
      <c r="AK275"/>
      <c r="AL275"/>
      <c r="AM275"/>
      <c r="AN275"/>
    </row>
    <row r="276" spans="1:40" s="66" customFormat="1" ht="14.5">
      <c r="A276" s="186"/>
      <c r="B276" s="187"/>
      <c r="C276" s="188"/>
      <c r="D276" s="188"/>
      <c r="E276" s="189"/>
      <c r="F276" s="190"/>
      <c r="G276" s="190"/>
      <c r="H276" s="189"/>
      <c r="I276" s="189"/>
      <c r="J276" s="191"/>
      <c r="K276" s="191"/>
      <c r="L276" s="61">
        <f t="shared" si="32"/>
        <v>0</v>
      </c>
      <c r="M276" s="192"/>
      <c r="N276" s="193"/>
      <c r="O276" s="192"/>
      <c r="P276" s="194"/>
      <c r="Q276" s="195"/>
      <c r="R276" s="196"/>
      <c r="S276" s="197"/>
      <c r="T276" s="62">
        <f t="shared" si="33"/>
        <v>0</v>
      </c>
      <c r="U276" s="63">
        <f t="shared" si="34"/>
        <v>0</v>
      </c>
      <c r="V276" s="145">
        <f t="shared" si="35"/>
        <v>0</v>
      </c>
      <c r="W276" s="198"/>
      <c r="X276" s="1379"/>
      <c r="Y276" s="1380"/>
      <c r="Z276" s="62">
        <f t="shared" si="36"/>
        <v>0</v>
      </c>
      <c r="AA276" s="146">
        <f t="shared" si="37"/>
        <v>0</v>
      </c>
      <c r="AB276" s="198"/>
      <c r="AC276" s="1379"/>
      <c r="AD276" s="1380"/>
      <c r="AE276" s="62">
        <f t="shared" si="38"/>
        <v>0</v>
      </c>
      <c r="AF276" s="148">
        <f t="shared" si="39"/>
        <v>0</v>
      </c>
      <c r="AG276" s="198"/>
      <c r="AH276" s="1379"/>
      <c r="AI276" s="1380"/>
      <c r="AJ276"/>
      <c r="AK276"/>
      <c r="AL276"/>
      <c r="AM276"/>
      <c r="AN276"/>
    </row>
    <row r="277" spans="1:40" s="66" customFormat="1" ht="14.5">
      <c r="A277" s="186"/>
      <c r="B277" s="187"/>
      <c r="C277" s="188"/>
      <c r="D277" s="188"/>
      <c r="E277" s="189"/>
      <c r="F277" s="190"/>
      <c r="G277" s="190"/>
      <c r="H277" s="189"/>
      <c r="I277" s="189"/>
      <c r="J277" s="191"/>
      <c r="K277" s="191"/>
      <c r="L277" s="61">
        <f t="shared" si="32"/>
        <v>0</v>
      </c>
      <c r="M277" s="192"/>
      <c r="N277" s="193"/>
      <c r="O277" s="192"/>
      <c r="P277" s="194"/>
      <c r="Q277" s="195"/>
      <c r="R277" s="196"/>
      <c r="S277" s="197"/>
      <c r="T277" s="62">
        <f t="shared" si="33"/>
        <v>0</v>
      </c>
      <c r="U277" s="63">
        <f t="shared" si="34"/>
        <v>0</v>
      </c>
      <c r="V277" s="145">
        <f t="shared" si="35"/>
        <v>0</v>
      </c>
      <c r="W277" s="198"/>
      <c r="X277" s="1379"/>
      <c r="Y277" s="1380"/>
      <c r="Z277" s="62">
        <f t="shared" si="36"/>
        <v>0</v>
      </c>
      <c r="AA277" s="146">
        <f t="shared" si="37"/>
        <v>0</v>
      </c>
      <c r="AB277" s="198"/>
      <c r="AC277" s="1379"/>
      <c r="AD277" s="1380"/>
      <c r="AE277" s="62">
        <f t="shared" si="38"/>
        <v>0</v>
      </c>
      <c r="AF277" s="148">
        <f t="shared" si="39"/>
        <v>0</v>
      </c>
      <c r="AG277" s="198"/>
      <c r="AH277" s="1379"/>
      <c r="AI277" s="1380"/>
      <c r="AJ277"/>
      <c r="AK277"/>
      <c r="AL277"/>
      <c r="AM277"/>
      <c r="AN277"/>
    </row>
    <row r="278" spans="1:40" s="66" customFormat="1" ht="14.5">
      <c r="A278" s="186"/>
      <c r="B278" s="187"/>
      <c r="C278" s="188"/>
      <c r="D278" s="188"/>
      <c r="E278" s="189"/>
      <c r="F278" s="190"/>
      <c r="G278" s="190"/>
      <c r="H278" s="189"/>
      <c r="I278" s="189"/>
      <c r="J278" s="191"/>
      <c r="K278" s="191"/>
      <c r="L278" s="61">
        <f t="shared" si="32"/>
        <v>0</v>
      </c>
      <c r="M278" s="192"/>
      <c r="N278" s="193"/>
      <c r="O278" s="192"/>
      <c r="P278" s="194"/>
      <c r="Q278" s="195"/>
      <c r="R278" s="196"/>
      <c r="S278" s="197"/>
      <c r="T278" s="62">
        <f t="shared" si="33"/>
        <v>0</v>
      </c>
      <c r="U278" s="63">
        <f t="shared" si="34"/>
        <v>0</v>
      </c>
      <c r="V278" s="145">
        <f t="shared" si="35"/>
        <v>0</v>
      </c>
      <c r="W278" s="198"/>
      <c r="X278" s="1379"/>
      <c r="Y278" s="1380"/>
      <c r="Z278" s="62">
        <f t="shared" si="36"/>
        <v>0</v>
      </c>
      <c r="AA278" s="146">
        <f t="shared" si="37"/>
        <v>0</v>
      </c>
      <c r="AB278" s="198"/>
      <c r="AC278" s="1379"/>
      <c r="AD278" s="1380"/>
      <c r="AE278" s="62">
        <f t="shared" si="38"/>
        <v>0</v>
      </c>
      <c r="AF278" s="148">
        <f t="shared" si="39"/>
        <v>0</v>
      </c>
      <c r="AG278" s="198"/>
      <c r="AH278" s="1379"/>
      <c r="AI278" s="1380"/>
      <c r="AJ278"/>
      <c r="AK278"/>
      <c r="AL278"/>
      <c r="AM278"/>
      <c r="AN278"/>
    </row>
    <row r="279" spans="1:40" s="66" customFormat="1" ht="14.5">
      <c r="A279" s="186"/>
      <c r="B279" s="187"/>
      <c r="C279" s="188"/>
      <c r="D279" s="188"/>
      <c r="E279" s="189"/>
      <c r="F279" s="190"/>
      <c r="G279" s="190"/>
      <c r="H279" s="189"/>
      <c r="I279" s="189"/>
      <c r="J279" s="191"/>
      <c r="K279" s="191"/>
      <c r="L279" s="61">
        <f t="shared" si="32"/>
        <v>0</v>
      </c>
      <c r="M279" s="192"/>
      <c r="N279" s="193"/>
      <c r="O279" s="192"/>
      <c r="P279" s="194"/>
      <c r="Q279" s="195"/>
      <c r="R279" s="196"/>
      <c r="S279" s="197"/>
      <c r="T279" s="62">
        <f t="shared" si="33"/>
        <v>0</v>
      </c>
      <c r="U279" s="63">
        <f t="shared" si="34"/>
        <v>0</v>
      </c>
      <c r="V279" s="145">
        <f t="shared" si="35"/>
        <v>0</v>
      </c>
      <c r="W279" s="198"/>
      <c r="X279" s="1379"/>
      <c r="Y279" s="1380"/>
      <c r="Z279" s="62">
        <f t="shared" si="36"/>
        <v>0</v>
      </c>
      <c r="AA279" s="146">
        <f t="shared" si="37"/>
        <v>0</v>
      </c>
      <c r="AB279" s="198"/>
      <c r="AC279" s="1379"/>
      <c r="AD279" s="1380"/>
      <c r="AE279" s="62">
        <f t="shared" si="38"/>
        <v>0</v>
      </c>
      <c r="AF279" s="148">
        <f t="shared" si="39"/>
        <v>0</v>
      </c>
      <c r="AG279" s="198"/>
      <c r="AH279" s="1379"/>
      <c r="AI279" s="1380"/>
      <c r="AJ279"/>
      <c r="AK279"/>
      <c r="AL279"/>
      <c r="AM279"/>
      <c r="AN279"/>
    </row>
    <row r="280" spans="1:40" s="66" customFormat="1" ht="14.5">
      <c r="A280" s="186"/>
      <c r="B280" s="187"/>
      <c r="C280" s="188"/>
      <c r="D280" s="188"/>
      <c r="E280" s="189"/>
      <c r="F280" s="190"/>
      <c r="G280" s="190"/>
      <c r="H280" s="189"/>
      <c r="I280" s="189"/>
      <c r="J280" s="191"/>
      <c r="K280" s="191"/>
      <c r="L280" s="61">
        <f t="shared" si="32"/>
        <v>0</v>
      </c>
      <c r="M280" s="192"/>
      <c r="N280" s="193"/>
      <c r="O280" s="192"/>
      <c r="P280" s="194"/>
      <c r="Q280" s="195"/>
      <c r="R280" s="196"/>
      <c r="S280" s="197"/>
      <c r="T280" s="62">
        <f t="shared" si="33"/>
        <v>0</v>
      </c>
      <c r="U280" s="63">
        <f t="shared" si="34"/>
        <v>0</v>
      </c>
      <c r="V280" s="145">
        <f t="shared" si="35"/>
        <v>0</v>
      </c>
      <c r="W280" s="198"/>
      <c r="X280" s="1379"/>
      <c r="Y280" s="1380"/>
      <c r="Z280" s="62">
        <f t="shared" si="36"/>
        <v>0</v>
      </c>
      <c r="AA280" s="146">
        <f t="shared" si="37"/>
        <v>0</v>
      </c>
      <c r="AB280" s="198"/>
      <c r="AC280" s="1379"/>
      <c r="AD280" s="1380"/>
      <c r="AE280" s="62">
        <f t="shared" si="38"/>
        <v>0</v>
      </c>
      <c r="AF280" s="148">
        <f t="shared" si="39"/>
        <v>0</v>
      </c>
      <c r="AG280" s="198"/>
      <c r="AH280" s="1379"/>
      <c r="AI280" s="1380"/>
      <c r="AJ280"/>
      <c r="AK280"/>
      <c r="AL280"/>
      <c r="AM280"/>
      <c r="AN280"/>
    </row>
    <row r="281" spans="1:40" s="66" customFormat="1" ht="14.5">
      <c r="A281" s="186"/>
      <c r="B281" s="187"/>
      <c r="C281" s="188"/>
      <c r="D281" s="188"/>
      <c r="E281" s="189"/>
      <c r="F281" s="190"/>
      <c r="G281" s="190"/>
      <c r="H281" s="189"/>
      <c r="I281" s="189"/>
      <c r="J281" s="191"/>
      <c r="K281" s="191"/>
      <c r="L281" s="61">
        <f t="shared" si="32"/>
        <v>0</v>
      </c>
      <c r="M281" s="192"/>
      <c r="N281" s="193"/>
      <c r="O281" s="192"/>
      <c r="P281" s="194"/>
      <c r="Q281" s="195"/>
      <c r="R281" s="196"/>
      <c r="S281" s="197"/>
      <c r="T281" s="62">
        <f t="shared" si="33"/>
        <v>0</v>
      </c>
      <c r="U281" s="63">
        <f t="shared" si="34"/>
        <v>0</v>
      </c>
      <c r="V281" s="145">
        <f t="shared" si="35"/>
        <v>0</v>
      </c>
      <c r="W281" s="198"/>
      <c r="X281" s="1379"/>
      <c r="Y281" s="1380"/>
      <c r="Z281" s="62">
        <f t="shared" si="36"/>
        <v>0</v>
      </c>
      <c r="AA281" s="146">
        <f t="shared" si="37"/>
        <v>0</v>
      </c>
      <c r="AB281" s="198"/>
      <c r="AC281" s="1379"/>
      <c r="AD281" s="1380"/>
      <c r="AE281" s="62">
        <f t="shared" si="38"/>
        <v>0</v>
      </c>
      <c r="AF281" s="148">
        <f t="shared" si="39"/>
        <v>0</v>
      </c>
      <c r="AG281" s="198"/>
      <c r="AH281" s="1379"/>
      <c r="AI281" s="1380"/>
      <c r="AJ281"/>
      <c r="AK281"/>
      <c r="AL281"/>
      <c r="AM281"/>
      <c r="AN281"/>
    </row>
    <row r="282" spans="1:40" s="66" customFormat="1" ht="14.5">
      <c r="A282" s="186"/>
      <c r="B282" s="187"/>
      <c r="C282" s="188"/>
      <c r="D282" s="188"/>
      <c r="E282" s="189"/>
      <c r="F282" s="190"/>
      <c r="G282" s="190"/>
      <c r="H282" s="189"/>
      <c r="I282" s="189"/>
      <c r="J282" s="191"/>
      <c r="K282" s="191"/>
      <c r="L282" s="61">
        <f t="shared" si="32"/>
        <v>0</v>
      </c>
      <c r="M282" s="192"/>
      <c r="N282" s="193"/>
      <c r="O282" s="192"/>
      <c r="P282" s="194"/>
      <c r="Q282" s="195"/>
      <c r="R282" s="196"/>
      <c r="S282" s="197"/>
      <c r="T282" s="62">
        <f t="shared" si="33"/>
        <v>0</v>
      </c>
      <c r="U282" s="63">
        <f t="shared" si="34"/>
        <v>0</v>
      </c>
      <c r="V282" s="145">
        <f t="shared" si="35"/>
        <v>0</v>
      </c>
      <c r="W282" s="198"/>
      <c r="X282" s="1379"/>
      <c r="Y282" s="1380"/>
      <c r="Z282" s="62">
        <f t="shared" si="36"/>
        <v>0</v>
      </c>
      <c r="AA282" s="146">
        <f t="shared" si="37"/>
        <v>0</v>
      </c>
      <c r="AB282" s="198"/>
      <c r="AC282" s="1379"/>
      <c r="AD282" s="1380"/>
      <c r="AE282" s="62">
        <f t="shared" si="38"/>
        <v>0</v>
      </c>
      <c r="AF282" s="148">
        <f t="shared" si="39"/>
        <v>0</v>
      </c>
      <c r="AG282" s="198"/>
      <c r="AH282" s="1379"/>
      <c r="AI282" s="1380"/>
      <c r="AJ282"/>
      <c r="AK282"/>
      <c r="AL282"/>
      <c r="AM282"/>
      <c r="AN282"/>
    </row>
    <row r="283" spans="1:40" s="66" customFormat="1" ht="14.5">
      <c r="A283" s="186"/>
      <c r="B283" s="187"/>
      <c r="C283" s="188"/>
      <c r="D283" s="188"/>
      <c r="E283" s="189"/>
      <c r="F283" s="190"/>
      <c r="G283" s="190"/>
      <c r="H283" s="189"/>
      <c r="I283" s="189"/>
      <c r="J283" s="191"/>
      <c r="K283" s="191"/>
      <c r="L283" s="61">
        <f t="shared" si="32"/>
        <v>0</v>
      </c>
      <c r="M283" s="192"/>
      <c r="N283" s="193"/>
      <c r="O283" s="192"/>
      <c r="P283" s="194"/>
      <c r="Q283" s="195"/>
      <c r="R283" s="196"/>
      <c r="S283" s="197"/>
      <c r="T283" s="62">
        <f t="shared" si="33"/>
        <v>0</v>
      </c>
      <c r="U283" s="63">
        <f t="shared" si="34"/>
        <v>0</v>
      </c>
      <c r="V283" s="145">
        <f t="shared" si="35"/>
        <v>0</v>
      </c>
      <c r="W283" s="198"/>
      <c r="X283" s="1379"/>
      <c r="Y283" s="1380"/>
      <c r="Z283" s="62">
        <f t="shared" si="36"/>
        <v>0</v>
      </c>
      <c r="AA283" s="146">
        <f t="shared" si="37"/>
        <v>0</v>
      </c>
      <c r="AB283" s="198"/>
      <c r="AC283" s="1379"/>
      <c r="AD283" s="1380"/>
      <c r="AE283" s="62">
        <f t="shared" si="38"/>
        <v>0</v>
      </c>
      <c r="AF283" s="148">
        <f t="shared" si="39"/>
        <v>0</v>
      </c>
      <c r="AG283" s="198"/>
      <c r="AH283" s="1379"/>
      <c r="AI283" s="1380"/>
      <c r="AJ283"/>
      <c r="AK283"/>
      <c r="AL283"/>
      <c r="AM283"/>
      <c r="AN283"/>
    </row>
    <row r="284" spans="1:40" s="66" customFormat="1" ht="14.5">
      <c r="A284" s="186"/>
      <c r="B284" s="187"/>
      <c r="C284" s="188"/>
      <c r="D284" s="188"/>
      <c r="E284" s="189"/>
      <c r="F284" s="190"/>
      <c r="G284" s="190"/>
      <c r="H284" s="189"/>
      <c r="I284" s="189"/>
      <c r="J284" s="191"/>
      <c r="K284" s="191"/>
      <c r="L284" s="61">
        <f t="shared" si="32"/>
        <v>0</v>
      </c>
      <c r="M284" s="192"/>
      <c r="N284" s="193"/>
      <c r="O284" s="192"/>
      <c r="P284" s="194"/>
      <c r="Q284" s="195"/>
      <c r="R284" s="196"/>
      <c r="S284" s="197"/>
      <c r="T284" s="62">
        <f t="shared" si="33"/>
        <v>0</v>
      </c>
      <c r="U284" s="63">
        <f t="shared" si="34"/>
        <v>0</v>
      </c>
      <c r="V284" s="145">
        <f t="shared" si="35"/>
        <v>0</v>
      </c>
      <c r="W284" s="198"/>
      <c r="X284" s="1379"/>
      <c r="Y284" s="1380"/>
      <c r="Z284" s="62">
        <f t="shared" si="36"/>
        <v>0</v>
      </c>
      <c r="AA284" s="146">
        <f t="shared" si="37"/>
        <v>0</v>
      </c>
      <c r="AB284" s="198"/>
      <c r="AC284" s="1379"/>
      <c r="AD284" s="1380"/>
      <c r="AE284" s="62">
        <f t="shared" si="38"/>
        <v>0</v>
      </c>
      <c r="AF284" s="148">
        <f t="shared" si="39"/>
        <v>0</v>
      </c>
      <c r="AG284" s="198"/>
      <c r="AH284" s="1379"/>
      <c r="AI284" s="1380"/>
      <c r="AJ284"/>
      <c r="AK284"/>
      <c r="AL284"/>
      <c r="AM284"/>
      <c r="AN284"/>
    </row>
    <row r="285" spans="1:40" s="66" customFormat="1" ht="14.5">
      <c r="A285" s="186"/>
      <c r="B285" s="187"/>
      <c r="C285" s="188"/>
      <c r="D285" s="188"/>
      <c r="E285" s="189"/>
      <c r="F285" s="190"/>
      <c r="G285" s="190"/>
      <c r="H285" s="189"/>
      <c r="I285" s="189"/>
      <c r="J285" s="191"/>
      <c r="K285" s="191"/>
      <c r="L285" s="61">
        <f t="shared" si="32"/>
        <v>0</v>
      </c>
      <c r="M285" s="192"/>
      <c r="N285" s="193"/>
      <c r="O285" s="192"/>
      <c r="P285" s="194"/>
      <c r="Q285" s="195"/>
      <c r="R285" s="196"/>
      <c r="S285" s="197"/>
      <c r="T285" s="62">
        <f t="shared" si="33"/>
        <v>0</v>
      </c>
      <c r="U285" s="63">
        <f t="shared" si="34"/>
        <v>0</v>
      </c>
      <c r="V285" s="145">
        <f t="shared" si="35"/>
        <v>0</v>
      </c>
      <c r="W285" s="198"/>
      <c r="X285" s="1379"/>
      <c r="Y285" s="1380"/>
      <c r="Z285" s="62">
        <f t="shared" si="36"/>
        <v>0</v>
      </c>
      <c r="AA285" s="146">
        <f t="shared" si="37"/>
        <v>0</v>
      </c>
      <c r="AB285" s="198"/>
      <c r="AC285" s="1379"/>
      <c r="AD285" s="1380"/>
      <c r="AE285" s="62">
        <f t="shared" si="38"/>
        <v>0</v>
      </c>
      <c r="AF285" s="148">
        <f t="shared" si="39"/>
        <v>0</v>
      </c>
      <c r="AG285" s="198"/>
      <c r="AH285" s="1379"/>
      <c r="AI285" s="1380"/>
      <c r="AJ285"/>
      <c r="AK285"/>
      <c r="AL285"/>
      <c r="AM285"/>
      <c r="AN285"/>
    </row>
    <row r="286" spans="1:40" s="66" customFormat="1" ht="14.5">
      <c r="A286" s="186"/>
      <c r="B286" s="187"/>
      <c r="C286" s="188"/>
      <c r="D286" s="188"/>
      <c r="E286" s="189"/>
      <c r="F286" s="190"/>
      <c r="G286" s="190"/>
      <c r="H286" s="189"/>
      <c r="I286" s="189"/>
      <c r="J286" s="191"/>
      <c r="K286" s="191"/>
      <c r="L286" s="61">
        <f t="shared" si="32"/>
        <v>0</v>
      </c>
      <c r="M286" s="192"/>
      <c r="N286" s="193"/>
      <c r="O286" s="192"/>
      <c r="P286" s="194"/>
      <c r="Q286" s="195"/>
      <c r="R286" s="196"/>
      <c r="S286" s="197"/>
      <c r="T286" s="62">
        <f t="shared" si="33"/>
        <v>0</v>
      </c>
      <c r="U286" s="63">
        <f t="shared" si="34"/>
        <v>0</v>
      </c>
      <c r="V286" s="145">
        <f t="shared" si="35"/>
        <v>0</v>
      </c>
      <c r="W286" s="198"/>
      <c r="X286" s="1379"/>
      <c r="Y286" s="1380"/>
      <c r="Z286" s="62">
        <f t="shared" si="36"/>
        <v>0</v>
      </c>
      <c r="AA286" s="146">
        <f t="shared" si="37"/>
        <v>0</v>
      </c>
      <c r="AB286" s="198"/>
      <c r="AC286" s="1379"/>
      <c r="AD286" s="1380"/>
      <c r="AE286" s="62">
        <f t="shared" si="38"/>
        <v>0</v>
      </c>
      <c r="AF286" s="148">
        <f t="shared" si="39"/>
        <v>0</v>
      </c>
      <c r="AG286" s="198"/>
      <c r="AH286" s="1379"/>
      <c r="AI286" s="1380"/>
      <c r="AJ286"/>
      <c r="AK286"/>
      <c r="AL286"/>
      <c r="AM286"/>
      <c r="AN286"/>
    </row>
    <row r="287" spans="1:40" s="66" customFormat="1" ht="14.5">
      <c r="A287" s="186"/>
      <c r="B287" s="187"/>
      <c r="C287" s="188"/>
      <c r="D287" s="188"/>
      <c r="E287" s="189"/>
      <c r="F287" s="190"/>
      <c r="G287" s="190"/>
      <c r="H287" s="189"/>
      <c r="I287" s="189"/>
      <c r="J287" s="191"/>
      <c r="K287" s="191"/>
      <c r="L287" s="61">
        <f t="shared" si="32"/>
        <v>0</v>
      </c>
      <c r="M287" s="192"/>
      <c r="N287" s="193"/>
      <c r="O287" s="192"/>
      <c r="P287" s="194"/>
      <c r="Q287" s="195"/>
      <c r="R287" s="196"/>
      <c r="S287" s="197"/>
      <c r="T287" s="62">
        <f t="shared" si="33"/>
        <v>0</v>
      </c>
      <c r="U287" s="63">
        <f t="shared" si="34"/>
        <v>0</v>
      </c>
      <c r="V287" s="145">
        <f t="shared" si="35"/>
        <v>0</v>
      </c>
      <c r="W287" s="198"/>
      <c r="X287" s="1379"/>
      <c r="Y287" s="1380"/>
      <c r="Z287" s="62">
        <f t="shared" si="36"/>
        <v>0</v>
      </c>
      <c r="AA287" s="146">
        <f t="shared" si="37"/>
        <v>0</v>
      </c>
      <c r="AB287" s="198"/>
      <c r="AC287" s="1379"/>
      <c r="AD287" s="1380"/>
      <c r="AE287" s="62">
        <f t="shared" si="38"/>
        <v>0</v>
      </c>
      <c r="AF287" s="148">
        <f t="shared" si="39"/>
        <v>0</v>
      </c>
      <c r="AG287" s="198"/>
      <c r="AH287" s="1379"/>
      <c r="AI287" s="1380"/>
      <c r="AJ287"/>
      <c r="AK287"/>
      <c r="AL287"/>
      <c r="AM287"/>
      <c r="AN287"/>
    </row>
    <row r="288" spans="1:40" s="66" customFormat="1" ht="14.5">
      <c r="A288" s="186"/>
      <c r="B288" s="187"/>
      <c r="C288" s="188"/>
      <c r="D288" s="188"/>
      <c r="E288" s="189"/>
      <c r="F288" s="190"/>
      <c r="G288" s="190"/>
      <c r="H288" s="189"/>
      <c r="I288" s="189"/>
      <c r="J288" s="191"/>
      <c r="K288" s="191"/>
      <c r="L288" s="61">
        <f t="shared" si="32"/>
        <v>0</v>
      </c>
      <c r="M288" s="192"/>
      <c r="N288" s="193"/>
      <c r="O288" s="192"/>
      <c r="P288" s="194"/>
      <c r="Q288" s="195"/>
      <c r="R288" s="196"/>
      <c r="S288" s="197"/>
      <c r="T288" s="62">
        <f t="shared" si="33"/>
        <v>0</v>
      </c>
      <c r="U288" s="63">
        <f t="shared" si="34"/>
        <v>0</v>
      </c>
      <c r="V288" s="145">
        <f t="shared" si="35"/>
        <v>0</v>
      </c>
      <c r="W288" s="198"/>
      <c r="X288" s="1379"/>
      <c r="Y288" s="1380"/>
      <c r="Z288" s="62">
        <f t="shared" si="36"/>
        <v>0</v>
      </c>
      <c r="AA288" s="146">
        <f t="shared" si="37"/>
        <v>0</v>
      </c>
      <c r="AB288" s="198"/>
      <c r="AC288" s="1379"/>
      <c r="AD288" s="1380"/>
      <c r="AE288" s="62">
        <f t="shared" si="38"/>
        <v>0</v>
      </c>
      <c r="AF288" s="148">
        <f t="shared" si="39"/>
        <v>0</v>
      </c>
      <c r="AG288" s="198"/>
      <c r="AH288" s="1379"/>
      <c r="AI288" s="1380"/>
      <c r="AJ288"/>
      <c r="AK288"/>
      <c r="AL288"/>
      <c r="AM288"/>
      <c r="AN288"/>
    </row>
    <row r="289" spans="1:40" s="66" customFormat="1" ht="14.5">
      <c r="A289" s="186"/>
      <c r="B289" s="187"/>
      <c r="C289" s="188"/>
      <c r="D289" s="188"/>
      <c r="E289" s="189"/>
      <c r="F289" s="190"/>
      <c r="G289" s="190"/>
      <c r="H289" s="189"/>
      <c r="I289" s="189"/>
      <c r="J289" s="191"/>
      <c r="K289" s="191"/>
      <c r="L289" s="61">
        <f t="shared" si="32"/>
        <v>0</v>
      </c>
      <c r="M289" s="192"/>
      <c r="N289" s="193"/>
      <c r="O289" s="192"/>
      <c r="P289" s="194"/>
      <c r="Q289" s="195"/>
      <c r="R289" s="196"/>
      <c r="S289" s="197"/>
      <c r="T289" s="62">
        <f t="shared" si="33"/>
        <v>0</v>
      </c>
      <c r="U289" s="63">
        <f t="shared" si="34"/>
        <v>0</v>
      </c>
      <c r="V289" s="145">
        <f t="shared" si="35"/>
        <v>0</v>
      </c>
      <c r="W289" s="198"/>
      <c r="X289" s="1379"/>
      <c r="Y289" s="1380"/>
      <c r="Z289" s="62">
        <f t="shared" si="36"/>
        <v>0</v>
      </c>
      <c r="AA289" s="146">
        <f t="shared" si="37"/>
        <v>0</v>
      </c>
      <c r="AB289" s="198"/>
      <c r="AC289" s="1379"/>
      <c r="AD289" s="1380"/>
      <c r="AE289" s="62">
        <f t="shared" si="38"/>
        <v>0</v>
      </c>
      <c r="AF289" s="148">
        <f t="shared" si="39"/>
        <v>0</v>
      </c>
      <c r="AG289" s="198"/>
      <c r="AH289" s="1379"/>
      <c r="AI289" s="1380"/>
      <c r="AJ289"/>
      <c r="AK289"/>
      <c r="AL289"/>
      <c r="AM289"/>
      <c r="AN289"/>
    </row>
    <row r="290" spans="1:40" s="66" customFormat="1" ht="14.5">
      <c r="A290" s="186"/>
      <c r="B290" s="187"/>
      <c r="C290" s="188"/>
      <c r="D290" s="188"/>
      <c r="E290" s="189"/>
      <c r="F290" s="190"/>
      <c r="G290" s="190"/>
      <c r="H290" s="189"/>
      <c r="I290" s="189"/>
      <c r="J290" s="191"/>
      <c r="K290" s="191"/>
      <c r="L290" s="61">
        <f t="shared" si="32"/>
        <v>0</v>
      </c>
      <c r="M290" s="192"/>
      <c r="N290" s="193"/>
      <c r="O290" s="192"/>
      <c r="P290" s="194"/>
      <c r="Q290" s="195"/>
      <c r="R290" s="196"/>
      <c r="S290" s="197"/>
      <c r="T290" s="62">
        <f t="shared" si="33"/>
        <v>0</v>
      </c>
      <c r="U290" s="63">
        <f t="shared" si="34"/>
        <v>0</v>
      </c>
      <c r="V290" s="145">
        <f t="shared" si="35"/>
        <v>0</v>
      </c>
      <c r="W290" s="198"/>
      <c r="X290" s="1379"/>
      <c r="Y290" s="1380"/>
      <c r="Z290" s="62">
        <f t="shared" si="36"/>
        <v>0</v>
      </c>
      <c r="AA290" s="146">
        <f t="shared" si="37"/>
        <v>0</v>
      </c>
      <c r="AB290" s="198"/>
      <c r="AC290" s="1379"/>
      <c r="AD290" s="1380"/>
      <c r="AE290" s="62">
        <f t="shared" si="38"/>
        <v>0</v>
      </c>
      <c r="AF290" s="148">
        <f t="shared" si="39"/>
        <v>0</v>
      </c>
      <c r="AG290" s="198"/>
      <c r="AH290" s="1379"/>
      <c r="AI290" s="1380"/>
      <c r="AJ290"/>
      <c r="AK290"/>
      <c r="AL290"/>
      <c r="AM290"/>
      <c r="AN290"/>
    </row>
    <row r="291" spans="1:40" s="66" customFormat="1" ht="14.5">
      <c r="A291" s="186"/>
      <c r="B291" s="187"/>
      <c r="C291" s="188"/>
      <c r="D291" s="188"/>
      <c r="E291" s="189"/>
      <c r="F291" s="190"/>
      <c r="G291" s="190"/>
      <c r="H291" s="189"/>
      <c r="I291" s="189"/>
      <c r="J291" s="191"/>
      <c r="K291" s="191"/>
      <c r="L291" s="61">
        <f t="shared" si="32"/>
        <v>0</v>
      </c>
      <c r="M291" s="192"/>
      <c r="N291" s="193"/>
      <c r="O291" s="192"/>
      <c r="P291" s="194"/>
      <c r="Q291" s="195"/>
      <c r="R291" s="196"/>
      <c r="S291" s="197"/>
      <c r="T291" s="62">
        <f t="shared" si="33"/>
        <v>0</v>
      </c>
      <c r="U291" s="63">
        <f t="shared" si="34"/>
        <v>0</v>
      </c>
      <c r="V291" s="145">
        <f t="shared" si="35"/>
        <v>0</v>
      </c>
      <c r="W291" s="198"/>
      <c r="X291" s="1379"/>
      <c r="Y291" s="1380"/>
      <c r="Z291" s="62">
        <f t="shared" si="36"/>
        <v>0</v>
      </c>
      <c r="AA291" s="146">
        <f t="shared" si="37"/>
        <v>0</v>
      </c>
      <c r="AB291" s="198"/>
      <c r="AC291" s="1379"/>
      <c r="AD291" s="1380"/>
      <c r="AE291" s="62">
        <f t="shared" si="38"/>
        <v>0</v>
      </c>
      <c r="AF291" s="148">
        <f t="shared" si="39"/>
        <v>0</v>
      </c>
      <c r="AG291" s="198"/>
      <c r="AH291" s="1379"/>
      <c r="AI291" s="1380"/>
      <c r="AJ291"/>
      <c r="AK291"/>
      <c r="AL291"/>
      <c r="AM291"/>
      <c r="AN291"/>
    </row>
    <row r="292" spans="1:40" s="66" customFormat="1" ht="14.5">
      <c r="A292" s="186"/>
      <c r="B292" s="187"/>
      <c r="C292" s="188"/>
      <c r="D292" s="188"/>
      <c r="E292" s="189"/>
      <c r="F292" s="190"/>
      <c r="G292" s="190"/>
      <c r="H292" s="189"/>
      <c r="I292" s="189"/>
      <c r="J292" s="191"/>
      <c r="K292" s="191"/>
      <c r="L292" s="61">
        <f t="shared" si="32"/>
        <v>0</v>
      </c>
      <c r="M292" s="192"/>
      <c r="N292" s="193"/>
      <c r="O292" s="192"/>
      <c r="P292" s="194"/>
      <c r="Q292" s="195"/>
      <c r="R292" s="196"/>
      <c r="S292" s="197"/>
      <c r="T292" s="62">
        <f t="shared" si="33"/>
        <v>0</v>
      </c>
      <c r="U292" s="63">
        <f t="shared" si="34"/>
        <v>0</v>
      </c>
      <c r="V292" s="145">
        <f t="shared" si="35"/>
        <v>0</v>
      </c>
      <c r="W292" s="198"/>
      <c r="X292" s="1379"/>
      <c r="Y292" s="1380"/>
      <c r="Z292" s="62">
        <f t="shared" si="36"/>
        <v>0</v>
      </c>
      <c r="AA292" s="146">
        <f t="shared" si="37"/>
        <v>0</v>
      </c>
      <c r="AB292" s="198"/>
      <c r="AC292" s="1379"/>
      <c r="AD292" s="1380"/>
      <c r="AE292" s="62">
        <f t="shared" si="38"/>
        <v>0</v>
      </c>
      <c r="AF292" s="148">
        <f t="shared" si="39"/>
        <v>0</v>
      </c>
      <c r="AG292" s="198"/>
      <c r="AH292" s="1379"/>
      <c r="AI292" s="1380"/>
      <c r="AJ292"/>
      <c r="AK292"/>
      <c r="AL292"/>
      <c r="AM292"/>
      <c r="AN292"/>
    </row>
    <row r="293" spans="1:40" s="66" customFormat="1" ht="14.5">
      <c r="A293" s="186"/>
      <c r="B293" s="187"/>
      <c r="C293" s="188"/>
      <c r="D293" s="188"/>
      <c r="E293" s="189"/>
      <c r="F293" s="190"/>
      <c r="G293" s="190"/>
      <c r="H293" s="189"/>
      <c r="I293" s="189"/>
      <c r="J293" s="191"/>
      <c r="K293" s="191"/>
      <c r="L293" s="61">
        <f t="shared" si="32"/>
        <v>0</v>
      </c>
      <c r="M293" s="192"/>
      <c r="N293" s="193"/>
      <c r="O293" s="192"/>
      <c r="P293" s="194"/>
      <c r="Q293" s="195"/>
      <c r="R293" s="196"/>
      <c r="S293" s="197"/>
      <c r="T293" s="62">
        <f t="shared" si="33"/>
        <v>0</v>
      </c>
      <c r="U293" s="63">
        <f t="shared" si="34"/>
        <v>0</v>
      </c>
      <c r="V293" s="145">
        <f t="shared" si="35"/>
        <v>0</v>
      </c>
      <c r="W293" s="198"/>
      <c r="X293" s="1379"/>
      <c r="Y293" s="1380"/>
      <c r="Z293" s="62">
        <f t="shared" si="36"/>
        <v>0</v>
      </c>
      <c r="AA293" s="146">
        <f t="shared" si="37"/>
        <v>0</v>
      </c>
      <c r="AB293" s="198"/>
      <c r="AC293" s="1379"/>
      <c r="AD293" s="1380"/>
      <c r="AE293" s="62">
        <f t="shared" si="38"/>
        <v>0</v>
      </c>
      <c r="AF293" s="148">
        <f t="shared" si="39"/>
        <v>0</v>
      </c>
      <c r="AG293" s="198"/>
      <c r="AH293" s="1379"/>
      <c r="AI293" s="1380"/>
      <c r="AJ293"/>
      <c r="AK293"/>
      <c r="AL293"/>
      <c r="AM293"/>
      <c r="AN293"/>
    </row>
    <row r="294" spans="1:40" s="66" customFormat="1" ht="14.5">
      <c r="A294" s="186"/>
      <c r="B294" s="187"/>
      <c r="C294" s="188"/>
      <c r="D294" s="188"/>
      <c r="E294" s="189"/>
      <c r="F294" s="190"/>
      <c r="G294" s="190"/>
      <c r="H294" s="189"/>
      <c r="I294" s="189"/>
      <c r="J294" s="191"/>
      <c r="K294" s="191"/>
      <c r="L294" s="61">
        <f t="shared" si="32"/>
        <v>0</v>
      </c>
      <c r="M294" s="192"/>
      <c r="N294" s="193"/>
      <c r="O294" s="192"/>
      <c r="P294" s="194"/>
      <c r="Q294" s="195"/>
      <c r="R294" s="196"/>
      <c r="S294" s="197"/>
      <c r="T294" s="62">
        <f t="shared" si="33"/>
        <v>0</v>
      </c>
      <c r="U294" s="63">
        <f t="shared" si="34"/>
        <v>0</v>
      </c>
      <c r="V294" s="145">
        <f t="shared" si="35"/>
        <v>0</v>
      </c>
      <c r="W294" s="198"/>
      <c r="X294" s="1379"/>
      <c r="Y294" s="1380"/>
      <c r="Z294" s="62">
        <f t="shared" si="36"/>
        <v>0</v>
      </c>
      <c r="AA294" s="146">
        <f t="shared" si="37"/>
        <v>0</v>
      </c>
      <c r="AB294" s="198"/>
      <c r="AC294" s="1379"/>
      <c r="AD294" s="1380"/>
      <c r="AE294" s="62">
        <f t="shared" si="38"/>
        <v>0</v>
      </c>
      <c r="AF294" s="148">
        <f t="shared" si="39"/>
        <v>0</v>
      </c>
      <c r="AG294" s="198"/>
      <c r="AH294" s="1379"/>
      <c r="AI294" s="1380"/>
      <c r="AJ294"/>
      <c r="AK294"/>
      <c r="AL294"/>
      <c r="AM294"/>
      <c r="AN294"/>
    </row>
    <row r="295" spans="1:40" s="66" customFormat="1" ht="14.5">
      <c r="A295" s="186"/>
      <c r="B295" s="187"/>
      <c r="C295" s="188"/>
      <c r="D295" s="188"/>
      <c r="E295" s="189"/>
      <c r="F295" s="190"/>
      <c r="G295" s="190"/>
      <c r="H295" s="189"/>
      <c r="I295" s="189"/>
      <c r="J295" s="191"/>
      <c r="K295" s="191"/>
      <c r="L295" s="61">
        <f t="shared" si="32"/>
        <v>0</v>
      </c>
      <c r="M295" s="192"/>
      <c r="N295" s="193"/>
      <c r="O295" s="192"/>
      <c r="P295" s="194"/>
      <c r="Q295" s="195"/>
      <c r="R295" s="196"/>
      <c r="S295" s="197"/>
      <c r="T295" s="62">
        <f t="shared" si="33"/>
        <v>0</v>
      </c>
      <c r="U295" s="63">
        <f t="shared" si="34"/>
        <v>0</v>
      </c>
      <c r="V295" s="145">
        <f t="shared" si="35"/>
        <v>0</v>
      </c>
      <c r="W295" s="198"/>
      <c r="X295" s="1379"/>
      <c r="Y295" s="1380"/>
      <c r="Z295" s="62">
        <f t="shared" si="36"/>
        <v>0</v>
      </c>
      <c r="AA295" s="146">
        <f t="shared" si="37"/>
        <v>0</v>
      </c>
      <c r="AB295" s="198"/>
      <c r="AC295" s="1379"/>
      <c r="AD295" s="1380"/>
      <c r="AE295" s="62">
        <f t="shared" si="38"/>
        <v>0</v>
      </c>
      <c r="AF295" s="148">
        <f t="shared" si="39"/>
        <v>0</v>
      </c>
      <c r="AG295" s="198"/>
      <c r="AH295" s="1379"/>
      <c r="AI295" s="1380"/>
      <c r="AJ295"/>
      <c r="AK295"/>
      <c r="AL295"/>
      <c r="AM295"/>
      <c r="AN295"/>
    </row>
    <row r="296" spans="1:40" s="66" customFormat="1" ht="14.5">
      <c r="A296" s="186"/>
      <c r="B296" s="187"/>
      <c r="C296" s="188"/>
      <c r="D296" s="188"/>
      <c r="E296" s="189"/>
      <c r="F296" s="190"/>
      <c r="G296" s="190"/>
      <c r="H296" s="189"/>
      <c r="I296" s="189"/>
      <c r="J296" s="191"/>
      <c r="K296" s="191"/>
      <c r="L296" s="61">
        <f t="shared" si="32"/>
        <v>0</v>
      </c>
      <c r="M296" s="192"/>
      <c r="N296" s="193"/>
      <c r="O296" s="192"/>
      <c r="P296" s="194"/>
      <c r="Q296" s="195"/>
      <c r="R296" s="196"/>
      <c r="S296" s="197"/>
      <c r="T296" s="62">
        <f t="shared" si="33"/>
        <v>0</v>
      </c>
      <c r="U296" s="63">
        <f t="shared" si="34"/>
        <v>0</v>
      </c>
      <c r="V296" s="145">
        <f t="shared" si="35"/>
        <v>0</v>
      </c>
      <c r="W296" s="198"/>
      <c r="X296" s="1379"/>
      <c r="Y296" s="1380"/>
      <c r="Z296" s="62">
        <f t="shared" si="36"/>
        <v>0</v>
      </c>
      <c r="AA296" s="146">
        <f t="shared" si="37"/>
        <v>0</v>
      </c>
      <c r="AB296" s="198"/>
      <c r="AC296" s="1379"/>
      <c r="AD296" s="1380"/>
      <c r="AE296" s="62">
        <f t="shared" si="38"/>
        <v>0</v>
      </c>
      <c r="AF296" s="148">
        <f t="shared" si="39"/>
        <v>0</v>
      </c>
      <c r="AG296" s="198"/>
      <c r="AH296" s="1379"/>
      <c r="AI296" s="1380"/>
      <c r="AJ296"/>
      <c r="AK296"/>
      <c r="AL296"/>
      <c r="AM296"/>
      <c r="AN296"/>
    </row>
    <row r="297" spans="1:40" s="66" customFormat="1" ht="14.5">
      <c r="A297" s="186"/>
      <c r="B297" s="187"/>
      <c r="C297" s="188"/>
      <c r="D297" s="188"/>
      <c r="E297" s="189"/>
      <c r="F297" s="190"/>
      <c r="G297" s="190"/>
      <c r="H297" s="189"/>
      <c r="I297" s="189"/>
      <c r="J297" s="191"/>
      <c r="K297" s="191"/>
      <c r="L297" s="61">
        <f t="shared" si="32"/>
        <v>0</v>
      </c>
      <c r="M297" s="192"/>
      <c r="N297" s="193"/>
      <c r="O297" s="192"/>
      <c r="P297" s="194"/>
      <c r="Q297" s="195"/>
      <c r="R297" s="196"/>
      <c r="S297" s="197"/>
      <c r="T297" s="62">
        <f t="shared" si="33"/>
        <v>0</v>
      </c>
      <c r="U297" s="63">
        <f t="shared" si="34"/>
        <v>0</v>
      </c>
      <c r="V297" s="145">
        <f t="shared" si="35"/>
        <v>0</v>
      </c>
      <c r="W297" s="198"/>
      <c r="X297" s="1379"/>
      <c r="Y297" s="1380"/>
      <c r="Z297" s="62">
        <f t="shared" si="36"/>
        <v>0</v>
      </c>
      <c r="AA297" s="146">
        <f t="shared" si="37"/>
        <v>0</v>
      </c>
      <c r="AB297" s="198"/>
      <c r="AC297" s="1379"/>
      <c r="AD297" s="1380"/>
      <c r="AE297" s="62">
        <f t="shared" si="38"/>
        <v>0</v>
      </c>
      <c r="AF297" s="148">
        <f t="shared" si="39"/>
        <v>0</v>
      </c>
      <c r="AG297" s="198"/>
      <c r="AH297" s="1379"/>
      <c r="AI297" s="1380"/>
      <c r="AJ297"/>
      <c r="AK297"/>
      <c r="AL297"/>
      <c r="AM297"/>
      <c r="AN297"/>
    </row>
    <row r="298" spans="1:40" s="66" customFormat="1" ht="14.5">
      <c r="A298" s="186"/>
      <c r="B298" s="187"/>
      <c r="C298" s="188"/>
      <c r="D298" s="188"/>
      <c r="E298" s="189"/>
      <c r="F298" s="190"/>
      <c r="G298" s="190"/>
      <c r="H298" s="189"/>
      <c r="I298" s="189"/>
      <c r="J298" s="191"/>
      <c r="K298" s="191"/>
      <c r="L298" s="61">
        <f t="shared" si="32"/>
        <v>0</v>
      </c>
      <c r="M298" s="192"/>
      <c r="N298" s="193"/>
      <c r="O298" s="192"/>
      <c r="P298" s="194"/>
      <c r="Q298" s="195"/>
      <c r="R298" s="196"/>
      <c r="S298" s="197"/>
      <c r="T298" s="62">
        <f t="shared" si="33"/>
        <v>0</v>
      </c>
      <c r="U298" s="63">
        <f t="shared" si="34"/>
        <v>0</v>
      </c>
      <c r="V298" s="145">
        <f t="shared" si="35"/>
        <v>0</v>
      </c>
      <c r="W298" s="198"/>
      <c r="X298" s="1379"/>
      <c r="Y298" s="1380"/>
      <c r="Z298" s="62">
        <f t="shared" si="36"/>
        <v>0</v>
      </c>
      <c r="AA298" s="146">
        <f t="shared" si="37"/>
        <v>0</v>
      </c>
      <c r="AB298" s="198"/>
      <c r="AC298" s="1379"/>
      <c r="AD298" s="1380"/>
      <c r="AE298" s="62">
        <f t="shared" si="38"/>
        <v>0</v>
      </c>
      <c r="AF298" s="148">
        <f t="shared" si="39"/>
        <v>0</v>
      </c>
      <c r="AG298" s="198"/>
      <c r="AH298" s="1379"/>
      <c r="AI298" s="1380"/>
      <c r="AJ298"/>
      <c r="AK298"/>
      <c r="AL298"/>
      <c r="AM298"/>
      <c r="AN298"/>
    </row>
    <row r="299" spans="1:40" s="66" customFormat="1" ht="14.5">
      <c r="A299" s="186"/>
      <c r="B299" s="187"/>
      <c r="C299" s="188"/>
      <c r="D299" s="188"/>
      <c r="E299" s="189"/>
      <c r="F299" s="190"/>
      <c r="G299" s="190"/>
      <c r="H299" s="189"/>
      <c r="I299" s="189"/>
      <c r="J299" s="191"/>
      <c r="K299" s="191"/>
      <c r="L299" s="61">
        <f t="shared" si="32"/>
        <v>0</v>
      </c>
      <c r="M299" s="192"/>
      <c r="N299" s="193"/>
      <c r="O299" s="192"/>
      <c r="P299" s="194"/>
      <c r="Q299" s="195"/>
      <c r="R299" s="196"/>
      <c r="S299" s="197"/>
      <c r="T299" s="62">
        <f t="shared" si="33"/>
        <v>0</v>
      </c>
      <c r="U299" s="63">
        <f t="shared" si="34"/>
        <v>0</v>
      </c>
      <c r="V299" s="145">
        <f t="shared" si="35"/>
        <v>0</v>
      </c>
      <c r="W299" s="198"/>
      <c r="X299" s="1379"/>
      <c r="Y299" s="1380"/>
      <c r="Z299" s="62">
        <f t="shared" si="36"/>
        <v>0</v>
      </c>
      <c r="AA299" s="146">
        <f t="shared" si="37"/>
        <v>0</v>
      </c>
      <c r="AB299" s="198"/>
      <c r="AC299" s="1379"/>
      <c r="AD299" s="1380"/>
      <c r="AE299" s="62">
        <f t="shared" si="38"/>
        <v>0</v>
      </c>
      <c r="AF299" s="148">
        <f t="shared" si="39"/>
        <v>0</v>
      </c>
      <c r="AG299" s="198"/>
      <c r="AH299" s="1379"/>
      <c r="AI299" s="1380"/>
      <c r="AJ299"/>
      <c r="AK299"/>
      <c r="AL299"/>
      <c r="AM299"/>
      <c r="AN299"/>
    </row>
    <row r="300" spans="1:40" s="66" customFormat="1" ht="14.5">
      <c r="A300" s="186"/>
      <c r="B300" s="187"/>
      <c r="C300" s="188"/>
      <c r="D300" s="188"/>
      <c r="E300" s="189"/>
      <c r="F300" s="190"/>
      <c r="G300" s="190"/>
      <c r="H300" s="189"/>
      <c r="I300" s="189"/>
      <c r="J300" s="191"/>
      <c r="K300" s="191"/>
      <c r="L300" s="61">
        <f t="shared" si="32"/>
        <v>0</v>
      </c>
      <c r="M300" s="192"/>
      <c r="N300" s="193"/>
      <c r="O300" s="192"/>
      <c r="P300" s="194"/>
      <c r="Q300" s="195"/>
      <c r="R300" s="196"/>
      <c r="S300" s="197"/>
      <c r="T300" s="62">
        <f t="shared" si="33"/>
        <v>0</v>
      </c>
      <c r="U300" s="63">
        <f t="shared" si="34"/>
        <v>0</v>
      </c>
      <c r="V300" s="145">
        <f t="shared" si="35"/>
        <v>0</v>
      </c>
      <c r="W300" s="198"/>
      <c r="X300" s="1379"/>
      <c r="Y300" s="1380"/>
      <c r="Z300" s="62">
        <f t="shared" si="36"/>
        <v>0</v>
      </c>
      <c r="AA300" s="146">
        <f t="shared" si="37"/>
        <v>0</v>
      </c>
      <c r="AB300" s="198"/>
      <c r="AC300" s="1379"/>
      <c r="AD300" s="1380"/>
      <c r="AE300" s="62">
        <f t="shared" si="38"/>
        <v>0</v>
      </c>
      <c r="AF300" s="148">
        <f t="shared" si="39"/>
        <v>0</v>
      </c>
      <c r="AG300" s="198"/>
      <c r="AH300" s="1379"/>
      <c r="AI300" s="1380"/>
      <c r="AJ300"/>
      <c r="AK300"/>
      <c r="AL300"/>
      <c r="AM300"/>
      <c r="AN300"/>
    </row>
    <row r="301" spans="1:40" s="66" customFormat="1" ht="14.5">
      <c r="A301" s="186"/>
      <c r="B301" s="187"/>
      <c r="C301" s="188"/>
      <c r="D301" s="188"/>
      <c r="E301" s="189"/>
      <c r="F301" s="190"/>
      <c r="G301" s="190"/>
      <c r="H301" s="189"/>
      <c r="I301" s="189"/>
      <c r="J301" s="191"/>
      <c r="K301" s="191"/>
      <c r="L301" s="61">
        <f t="shared" si="32"/>
        <v>0</v>
      </c>
      <c r="M301" s="192"/>
      <c r="N301" s="193"/>
      <c r="O301" s="192"/>
      <c r="P301" s="194"/>
      <c r="Q301" s="195"/>
      <c r="R301" s="196"/>
      <c r="S301" s="197"/>
      <c r="T301" s="62">
        <f t="shared" si="33"/>
        <v>0</v>
      </c>
      <c r="U301" s="63">
        <f t="shared" si="34"/>
        <v>0</v>
      </c>
      <c r="V301" s="145">
        <f t="shared" si="35"/>
        <v>0</v>
      </c>
      <c r="W301" s="198"/>
      <c r="X301" s="1379"/>
      <c r="Y301" s="1380"/>
      <c r="Z301" s="62">
        <f t="shared" si="36"/>
        <v>0</v>
      </c>
      <c r="AA301" s="146">
        <f t="shared" si="37"/>
        <v>0</v>
      </c>
      <c r="AB301" s="198"/>
      <c r="AC301" s="1379"/>
      <c r="AD301" s="1380"/>
      <c r="AE301" s="62">
        <f t="shared" si="38"/>
        <v>0</v>
      </c>
      <c r="AF301" s="148">
        <f t="shared" si="39"/>
        <v>0</v>
      </c>
      <c r="AG301" s="198"/>
      <c r="AH301" s="1379"/>
      <c r="AI301" s="1380"/>
      <c r="AJ301"/>
      <c r="AK301"/>
      <c r="AL301"/>
      <c r="AM301"/>
      <c r="AN301"/>
    </row>
    <row r="302" spans="1:40" s="66" customFormat="1" ht="14.5">
      <c r="A302" s="186"/>
      <c r="B302" s="187"/>
      <c r="C302" s="188"/>
      <c r="D302" s="188"/>
      <c r="E302" s="189"/>
      <c r="F302" s="190"/>
      <c r="G302" s="190"/>
      <c r="H302" s="189"/>
      <c r="I302" s="189"/>
      <c r="J302" s="191"/>
      <c r="K302" s="191"/>
      <c r="L302" s="61">
        <f t="shared" si="32"/>
        <v>0</v>
      </c>
      <c r="M302" s="192"/>
      <c r="N302" s="193"/>
      <c r="O302" s="192"/>
      <c r="P302" s="194"/>
      <c r="Q302" s="195"/>
      <c r="R302" s="196"/>
      <c r="S302" s="197"/>
      <c r="T302" s="62">
        <f t="shared" si="33"/>
        <v>0</v>
      </c>
      <c r="U302" s="63">
        <f t="shared" si="34"/>
        <v>0</v>
      </c>
      <c r="V302" s="145">
        <f t="shared" si="35"/>
        <v>0</v>
      </c>
      <c r="W302" s="198"/>
      <c r="X302" s="1379"/>
      <c r="Y302" s="1380"/>
      <c r="Z302" s="62">
        <f t="shared" si="36"/>
        <v>0</v>
      </c>
      <c r="AA302" s="146">
        <f t="shared" si="37"/>
        <v>0</v>
      </c>
      <c r="AB302" s="198"/>
      <c r="AC302" s="1379"/>
      <c r="AD302" s="1380"/>
      <c r="AE302" s="62">
        <f t="shared" si="38"/>
        <v>0</v>
      </c>
      <c r="AF302" s="148">
        <f t="shared" si="39"/>
        <v>0</v>
      </c>
      <c r="AG302" s="198"/>
      <c r="AH302" s="1379"/>
      <c r="AI302" s="1380"/>
      <c r="AJ302"/>
      <c r="AK302"/>
      <c r="AL302"/>
      <c r="AM302"/>
      <c r="AN302"/>
    </row>
    <row r="303" spans="1:40" s="66" customFormat="1" ht="14.5">
      <c r="A303" s="186"/>
      <c r="B303" s="187"/>
      <c r="C303" s="188"/>
      <c r="D303" s="188"/>
      <c r="E303" s="189"/>
      <c r="F303" s="190"/>
      <c r="G303" s="190"/>
      <c r="H303" s="189"/>
      <c r="I303" s="189"/>
      <c r="J303" s="191"/>
      <c r="K303" s="191"/>
      <c r="L303" s="61">
        <f t="shared" si="32"/>
        <v>0</v>
      </c>
      <c r="M303" s="192"/>
      <c r="N303" s="193"/>
      <c r="O303" s="192"/>
      <c r="P303" s="194"/>
      <c r="Q303" s="195"/>
      <c r="R303" s="196"/>
      <c r="S303" s="197"/>
      <c r="T303" s="62">
        <f t="shared" si="33"/>
        <v>0</v>
      </c>
      <c r="U303" s="63">
        <f t="shared" si="34"/>
        <v>0</v>
      </c>
      <c r="V303" s="145">
        <f t="shared" si="35"/>
        <v>0</v>
      </c>
      <c r="W303" s="198"/>
      <c r="X303" s="1379"/>
      <c r="Y303" s="1380"/>
      <c r="Z303" s="62">
        <f t="shared" si="36"/>
        <v>0</v>
      </c>
      <c r="AA303" s="146">
        <f t="shared" si="37"/>
        <v>0</v>
      </c>
      <c r="AB303" s="198"/>
      <c r="AC303" s="1379"/>
      <c r="AD303" s="1380"/>
      <c r="AE303" s="62">
        <f t="shared" si="38"/>
        <v>0</v>
      </c>
      <c r="AF303" s="148">
        <f t="shared" si="39"/>
        <v>0</v>
      </c>
      <c r="AG303" s="198"/>
      <c r="AH303" s="1379"/>
      <c r="AI303" s="1380"/>
      <c r="AJ303"/>
      <c r="AK303"/>
      <c r="AL303"/>
      <c r="AM303"/>
      <c r="AN303"/>
    </row>
    <row r="304" spans="1:40" s="66" customFormat="1" ht="14.5">
      <c r="A304" s="186"/>
      <c r="B304" s="187"/>
      <c r="C304" s="188"/>
      <c r="D304" s="188"/>
      <c r="E304" s="189"/>
      <c r="F304" s="190"/>
      <c r="G304" s="190"/>
      <c r="H304" s="189"/>
      <c r="I304" s="189"/>
      <c r="J304" s="191"/>
      <c r="K304" s="191"/>
      <c r="L304" s="61">
        <f t="shared" si="32"/>
        <v>0</v>
      </c>
      <c r="M304" s="192"/>
      <c r="N304" s="193"/>
      <c r="O304" s="192"/>
      <c r="P304" s="194"/>
      <c r="Q304" s="195"/>
      <c r="R304" s="196"/>
      <c r="S304" s="197"/>
      <c r="T304" s="62">
        <f t="shared" si="33"/>
        <v>0</v>
      </c>
      <c r="U304" s="63">
        <f t="shared" si="34"/>
        <v>0</v>
      </c>
      <c r="V304" s="145">
        <f t="shared" si="35"/>
        <v>0</v>
      </c>
      <c r="W304" s="198"/>
      <c r="X304" s="1379"/>
      <c r="Y304" s="1380"/>
      <c r="Z304" s="62">
        <f t="shared" si="36"/>
        <v>0</v>
      </c>
      <c r="AA304" s="146">
        <f t="shared" si="37"/>
        <v>0</v>
      </c>
      <c r="AB304" s="198"/>
      <c r="AC304" s="1379"/>
      <c r="AD304" s="1380"/>
      <c r="AE304" s="62">
        <f t="shared" si="38"/>
        <v>0</v>
      </c>
      <c r="AF304" s="148">
        <f t="shared" si="39"/>
        <v>0</v>
      </c>
      <c r="AG304" s="198"/>
      <c r="AH304" s="1379"/>
      <c r="AI304" s="1380"/>
      <c r="AJ304"/>
      <c r="AK304"/>
      <c r="AL304"/>
      <c r="AM304"/>
      <c r="AN304"/>
    </row>
    <row r="305" spans="1:40" s="66" customFormat="1" ht="14.5">
      <c r="A305" s="186"/>
      <c r="B305" s="187"/>
      <c r="C305" s="188"/>
      <c r="D305" s="188"/>
      <c r="E305" s="189"/>
      <c r="F305" s="190"/>
      <c r="G305" s="190"/>
      <c r="H305" s="189"/>
      <c r="I305" s="189"/>
      <c r="J305" s="191"/>
      <c r="K305" s="191"/>
      <c r="L305" s="61">
        <f t="shared" si="32"/>
        <v>0</v>
      </c>
      <c r="M305" s="192"/>
      <c r="N305" s="193"/>
      <c r="O305" s="192"/>
      <c r="P305" s="194"/>
      <c r="Q305" s="195"/>
      <c r="R305" s="196"/>
      <c r="S305" s="197"/>
      <c r="T305" s="62">
        <f t="shared" si="33"/>
        <v>0</v>
      </c>
      <c r="U305" s="63">
        <f t="shared" si="34"/>
        <v>0</v>
      </c>
      <c r="V305" s="145">
        <f t="shared" si="35"/>
        <v>0</v>
      </c>
      <c r="W305" s="198"/>
      <c r="X305" s="1379"/>
      <c r="Y305" s="1380"/>
      <c r="Z305" s="62">
        <f t="shared" si="36"/>
        <v>0</v>
      </c>
      <c r="AA305" s="146">
        <f t="shared" si="37"/>
        <v>0</v>
      </c>
      <c r="AB305" s="198"/>
      <c r="AC305" s="1379"/>
      <c r="AD305" s="1380"/>
      <c r="AE305" s="62">
        <f t="shared" si="38"/>
        <v>0</v>
      </c>
      <c r="AF305" s="148">
        <f t="shared" si="39"/>
        <v>0</v>
      </c>
      <c r="AG305" s="198"/>
      <c r="AH305" s="1379"/>
      <c r="AI305" s="1380"/>
      <c r="AJ305"/>
      <c r="AK305"/>
      <c r="AL305"/>
      <c r="AM305"/>
      <c r="AN305"/>
    </row>
    <row r="306" spans="1:40" s="66" customFormat="1" ht="14.5">
      <c r="A306" s="186"/>
      <c r="B306" s="187"/>
      <c r="C306" s="188"/>
      <c r="D306" s="188"/>
      <c r="E306" s="189"/>
      <c r="F306" s="190"/>
      <c r="G306" s="190"/>
      <c r="H306" s="189"/>
      <c r="I306" s="189"/>
      <c r="J306" s="191"/>
      <c r="K306" s="191"/>
      <c r="L306" s="61">
        <f t="shared" si="32"/>
        <v>0</v>
      </c>
      <c r="M306" s="192"/>
      <c r="N306" s="193"/>
      <c r="O306" s="192"/>
      <c r="P306" s="194"/>
      <c r="Q306" s="195"/>
      <c r="R306" s="196"/>
      <c r="S306" s="197"/>
      <c r="T306" s="62">
        <f t="shared" si="33"/>
        <v>0</v>
      </c>
      <c r="U306" s="63">
        <f t="shared" si="34"/>
        <v>0</v>
      </c>
      <c r="V306" s="145">
        <f t="shared" si="35"/>
        <v>0</v>
      </c>
      <c r="W306" s="198"/>
      <c r="X306" s="1379"/>
      <c r="Y306" s="1380"/>
      <c r="Z306" s="62">
        <f t="shared" si="36"/>
        <v>0</v>
      </c>
      <c r="AA306" s="146">
        <f t="shared" si="37"/>
        <v>0</v>
      </c>
      <c r="AB306" s="198"/>
      <c r="AC306" s="1379"/>
      <c r="AD306" s="1380"/>
      <c r="AE306" s="62">
        <f t="shared" si="38"/>
        <v>0</v>
      </c>
      <c r="AF306" s="148">
        <f t="shared" si="39"/>
        <v>0</v>
      </c>
      <c r="AG306" s="198"/>
      <c r="AH306" s="1379"/>
      <c r="AI306" s="1380"/>
      <c r="AJ306"/>
      <c r="AK306"/>
      <c r="AL306"/>
      <c r="AM306"/>
      <c r="AN306"/>
    </row>
    <row r="307" spans="1:40" s="66" customFormat="1" ht="14.5">
      <c r="A307" s="186"/>
      <c r="B307" s="187"/>
      <c r="C307" s="188"/>
      <c r="D307" s="188"/>
      <c r="E307" s="189"/>
      <c r="F307" s="190"/>
      <c r="G307" s="190"/>
      <c r="H307" s="189"/>
      <c r="I307" s="189"/>
      <c r="J307" s="191"/>
      <c r="K307" s="191"/>
      <c r="L307" s="61">
        <f t="shared" si="32"/>
        <v>0</v>
      </c>
      <c r="M307" s="192"/>
      <c r="N307" s="193"/>
      <c r="O307" s="192"/>
      <c r="P307" s="194"/>
      <c r="Q307" s="195"/>
      <c r="R307" s="196"/>
      <c r="S307" s="197"/>
      <c r="T307" s="62">
        <f t="shared" si="33"/>
        <v>0</v>
      </c>
      <c r="U307" s="63">
        <f t="shared" si="34"/>
        <v>0</v>
      </c>
      <c r="V307" s="145">
        <f t="shared" si="35"/>
        <v>0</v>
      </c>
      <c r="W307" s="198"/>
      <c r="X307" s="1379"/>
      <c r="Y307" s="1380"/>
      <c r="Z307" s="62">
        <f t="shared" si="36"/>
        <v>0</v>
      </c>
      <c r="AA307" s="146">
        <f t="shared" si="37"/>
        <v>0</v>
      </c>
      <c r="AB307" s="198"/>
      <c r="AC307" s="1379"/>
      <c r="AD307" s="1380"/>
      <c r="AE307" s="62">
        <f t="shared" si="38"/>
        <v>0</v>
      </c>
      <c r="AF307" s="148">
        <f t="shared" si="39"/>
        <v>0</v>
      </c>
      <c r="AG307" s="198"/>
      <c r="AH307" s="1379"/>
      <c r="AI307" s="1380"/>
      <c r="AJ307"/>
      <c r="AK307"/>
      <c r="AL307"/>
      <c r="AM307"/>
      <c r="AN307"/>
    </row>
    <row r="308" spans="1:40" s="66" customFormat="1" ht="14.5">
      <c r="A308" s="186"/>
      <c r="B308" s="187"/>
      <c r="C308" s="188"/>
      <c r="D308" s="188"/>
      <c r="E308" s="189"/>
      <c r="F308" s="190"/>
      <c r="G308" s="190"/>
      <c r="H308" s="189"/>
      <c r="I308" s="189"/>
      <c r="J308" s="191"/>
      <c r="K308" s="191"/>
      <c r="L308" s="61">
        <f t="shared" si="32"/>
        <v>0</v>
      </c>
      <c r="M308" s="192"/>
      <c r="N308" s="193"/>
      <c r="O308" s="192"/>
      <c r="P308" s="194"/>
      <c r="Q308" s="195"/>
      <c r="R308" s="196"/>
      <c r="S308" s="197"/>
      <c r="T308" s="62">
        <f t="shared" si="33"/>
        <v>0</v>
      </c>
      <c r="U308" s="63">
        <f t="shared" si="34"/>
        <v>0</v>
      </c>
      <c r="V308" s="145">
        <f t="shared" si="35"/>
        <v>0</v>
      </c>
      <c r="W308" s="198"/>
      <c r="X308" s="1379"/>
      <c r="Y308" s="1380"/>
      <c r="Z308" s="62">
        <f t="shared" si="36"/>
        <v>0</v>
      </c>
      <c r="AA308" s="146">
        <f t="shared" si="37"/>
        <v>0</v>
      </c>
      <c r="AB308" s="198"/>
      <c r="AC308" s="1379"/>
      <c r="AD308" s="1380"/>
      <c r="AE308" s="62">
        <f t="shared" si="38"/>
        <v>0</v>
      </c>
      <c r="AF308" s="148">
        <f t="shared" si="39"/>
        <v>0</v>
      </c>
      <c r="AG308" s="198"/>
      <c r="AH308" s="1379"/>
      <c r="AI308" s="1380"/>
      <c r="AJ308"/>
      <c r="AK308"/>
      <c r="AL308"/>
      <c r="AM308"/>
      <c r="AN308"/>
    </row>
    <row r="309" spans="1:40" s="66" customFormat="1" ht="14.5">
      <c r="A309" s="186"/>
      <c r="B309" s="187"/>
      <c r="C309" s="188"/>
      <c r="D309" s="188"/>
      <c r="E309" s="189"/>
      <c r="F309" s="190"/>
      <c r="G309" s="190"/>
      <c r="H309" s="189"/>
      <c r="I309" s="189"/>
      <c r="J309" s="191"/>
      <c r="K309" s="191"/>
      <c r="L309" s="61">
        <f t="shared" si="32"/>
        <v>0</v>
      </c>
      <c r="M309" s="192"/>
      <c r="N309" s="193"/>
      <c r="O309" s="192"/>
      <c r="P309" s="194"/>
      <c r="Q309" s="195"/>
      <c r="R309" s="196"/>
      <c r="S309" s="197"/>
      <c r="T309" s="62">
        <f t="shared" si="33"/>
        <v>0</v>
      </c>
      <c r="U309" s="63">
        <f t="shared" si="34"/>
        <v>0</v>
      </c>
      <c r="V309" s="145">
        <f t="shared" si="35"/>
        <v>0</v>
      </c>
      <c r="W309" s="198"/>
      <c r="X309" s="1379"/>
      <c r="Y309" s="1380"/>
      <c r="Z309" s="62">
        <f t="shared" si="36"/>
        <v>0</v>
      </c>
      <c r="AA309" s="146">
        <f t="shared" si="37"/>
        <v>0</v>
      </c>
      <c r="AB309" s="198"/>
      <c r="AC309" s="1379"/>
      <c r="AD309" s="1380"/>
      <c r="AE309" s="62">
        <f t="shared" si="38"/>
        <v>0</v>
      </c>
      <c r="AF309" s="148">
        <f t="shared" si="39"/>
        <v>0</v>
      </c>
      <c r="AG309" s="198"/>
      <c r="AH309" s="1379"/>
      <c r="AI309" s="1380"/>
      <c r="AJ309"/>
      <c r="AK309"/>
      <c r="AL309"/>
      <c r="AM309"/>
      <c r="AN309"/>
    </row>
    <row r="310" spans="1:40" s="66" customFormat="1" ht="14.5">
      <c r="A310" s="186"/>
      <c r="B310" s="187"/>
      <c r="C310" s="188"/>
      <c r="D310" s="188"/>
      <c r="E310" s="189"/>
      <c r="F310" s="190"/>
      <c r="G310" s="190"/>
      <c r="H310" s="189"/>
      <c r="I310" s="189"/>
      <c r="J310" s="191"/>
      <c r="K310" s="191"/>
      <c r="L310" s="61">
        <f t="shared" si="32"/>
        <v>0</v>
      </c>
      <c r="M310" s="192"/>
      <c r="N310" s="193"/>
      <c r="O310" s="192"/>
      <c r="P310" s="194"/>
      <c r="Q310" s="195"/>
      <c r="R310" s="196"/>
      <c r="S310" s="197"/>
      <c r="T310" s="62">
        <f t="shared" si="33"/>
        <v>0</v>
      </c>
      <c r="U310" s="63">
        <f t="shared" si="34"/>
        <v>0</v>
      </c>
      <c r="V310" s="145">
        <f t="shared" si="35"/>
        <v>0</v>
      </c>
      <c r="W310" s="198"/>
      <c r="X310" s="1379"/>
      <c r="Y310" s="1380"/>
      <c r="Z310" s="62">
        <f t="shared" si="36"/>
        <v>0</v>
      </c>
      <c r="AA310" s="146">
        <f t="shared" si="37"/>
        <v>0</v>
      </c>
      <c r="AB310" s="198"/>
      <c r="AC310" s="1379"/>
      <c r="AD310" s="1380"/>
      <c r="AE310" s="62">
        <f t="shared" si="38"/>
        <v>0</v>
      </c>
      <c r="AF310" s="148">
        <f t="shared" si="39"/>
        <v>0</v>
      </c>
      <c r="AG310" s="198"/>
      <c r="AH310" s="1379"/>
      <c r="AI310" s="1380"/>
      <c r="AJ310"/>
      <c r="AK310"/>
      <c r="AL310"/>
      <c r="AM310"/>
      <c r="AN310"/>
    </row>
    <row r="311" spans="1:40" s="66" customFormat="1" ht="14.5">
      <c r="A311" s="186"/>
      <c r="B311" s="187"/>
      <c r="C311" s="188"/>
      <c r="D311" s="188"/>
      <c r="E311" s="189"/>
      <c r="F311" s="190"/>
      <c r="G311" s="190"/>
      <c r="H311" s="189"/>
      <c r="I311" s="189"/>
      <c r="J311" s="191"/>
      <c r="K311" s="191"/>
      <c r="L311" s="61">
        <f t="shared" si="32"/>
        <v>0</v>
      </c>
      <c r="M311" s="192"/>
      <c r="N311" s="193"/>
      <c r="O311" s="192"/>
      <c r="P311" s="194"/>
      <c r="Q311" s="195"/>
      <c r="R311" s="196"/>
      <c r="S311" s="197"/>
      <c r="T311" s="62">
        <f t="shared" si="33"/>
        <v>0</v>
      </c>
      <c r="U311" s="63">
        <f t="shared" si="34"/>
        <v>0</v>
      </c>
      <c r="V311" s="145">
        <f t="shared" si="35"/>
        <v>0</v>
      </c>
      <c r="W311" s="198"/>
      <c r="X311" s="1379"/>
      <c r="Y311" s="1380"/>
      <c r="Z311" s="62">
        <f t="shared" si="36"/>
        <v>0</v>
      </c>
      <c r="AA311" s="146">
        <f t="shared" si="37"/>
        <v>0</v>
      </c>
      <c r="AB311" s="198"/>
      <c r="AC311" s="1379"/>
      <c r="AD311" s="1380"/>
      <c r="AE311" s="62">
        <f t="shared" si="38"/>
        <v>0</v>
      </c>
      <c r="AF311" s="148">
        <f t="shared" si="39"/>
        <v>0</v>
      </c>
      <c r="AG311" s="198"/>
      <c r="AH311" s="1379"/>
      <c r="AI311" s="1380"/>
      <c r="AJ311"/>
      <c r="AK311"/>
      <c r="AL311"/>
      <c r="AM311"/>
      <c r="AN311"/>
    </row>
    <row r="312" spans="1:40" s="66" customFormat="1" ht="14.5">
      <c r="A312" s="186"/>
      <c r="B312" s="187"/>
      <c r="C312" s="188"/>
      <c r="D312" s="188"/>
      <c r="E312" s="189"/>
      <c r="F312" s="190"/>
      <c r="G312" s="190"/>
      <c r="H312" s="189"/>
      <c r="I312" s="189"/>
      <c r="J312" s="191"/>
      <c r="K312" s="191"/>
      <c r="L312" s="61">
        <f t="shared" si="32"/>
        <v>0</v>
      </c>
      <c r="M312" s="192"/>
      <c r="N312" s="193"/>
      <c r="O312" s="192"/>
      <c r="P312" s="194"/>
      <c r="Q312" s="195"/>
      <c r="R312" s="196"/>
      <c r="S312" s="197"/>
      <c r="T312" s="62">
        <f t="shared" si="33"/>
        <v>0</v>
      </c>
      <c r="U312" s="63">
        <f t="shared" si="34"/>
        <v>0</v>
      </c>
      <c r="V312" s="145">
        <f t="shared" si="35"/>
        <v>0</v>
      </c>
      <c r="W312" s="198"/>
      <c r="X312" s="1379"/>
      <c r="Y312" s="1380"/>
      <c r="Z312" s="62">
        <f t="shared" si="36"/>
        <v>0</v>
      </c>
      <c r="AA312" s="146">
        <f t="shared" si="37"/>
        <v>0</v>
      </c>
      <c r="AB312" s="198"/>
      <c r="AC312" s="1379"/>
      <c r="AD312" s="1380"/>
      <c r="AE312" s="62">
        <f t="shared" si="38"/>
        <v>0</v>
      </c>
      <c r="AF312" s="148">
        <f t="shared" si="39"/>
        <v>0</v>
      </c>
      <c r="AG312" s="198"/>
      <c r="AH312" s="1379"/>
      <c r="AI312" s="1380"/>
      <c r="AJ312"/>
      <c r="AK312"/>
      <c r="AL312"/>
      <c r="AM312"/>
      <c r="AN312"/>
    </row>
    <row r="313" spans="1:40" s="66" customFormat="1" ht="14.5">
      <c r="A313" s="186"/>
      <c r="B313" s="187"/>
      <c r="C313" s="188"/>
      <c r="D313" s="188"/>
      <c r="E313" s="189"/>
      <c r="F313" s="190"/>
      <c r="G313" s="190"/>
      <c r="H313" s="189"/>
      <c r="I313" s="189"/>
      <c r="J313" s="191"/>
      <c r="K313" s="191"/>
      <c r="L313" s="61">
        <f t="shared" si="32"/>
        <v>0</v>
      </c>
      <c r="M313" s="192"/>
      <c r="N313" s="193"/>
      <c r="O313" s="192"/>
      <c r="P313" s="194"/>
      <c r="Q313" s="195"/>
      <c r="R313" s="196"/>
      <c r="S313" s="197"/>
      <c r="T313" s="62">
        <f t="shared" si="33"/>
        <v>0</v>
      </c>
      <c r="U313" s="63">
        <f t="shared" si="34"/>
        <v>0</v>
      </c>
      <c r="V313" s="145">
        <f t="shared" si="35"/>
        <v>0</v>
      </c>
      <c r="W313" s="198"/>
      <c r="X313" s="1379"/>
      <c r="Y313" s="1380"/>
      <c r="Z313" s="62">
        <f t="shared" si="36"/>
        <v>0</v>
      </c>
      <c r="AA313" s="146">
        <f t="shared" si="37"/>
        <v>0</v>
      </c>
      <c r="AB313" s="198"/>
      <c r="AC313" s="1379"/>
      <c r="AD313" s="1380"/>
      <c r="AE313" s="62">
        <f t="shared" si="38"/>
        <v>0</v>
      </c>
      <c r="AF313" s="148">
        <f t="shared" si="39"/>
        <v>0</v>
      </c>
      <c r="AG313" s="198"/>
      <c r="AH313" s="1379"/>
      <c r="AI313" s="1380"/>
      <c r="AJ313"/>
      <c r="AK313"/>
      <c r="AL313"/>
      <c r="AM313"/>
      <c r="AN313"/>
    </row>
    <row r="314" spans="1:40" s="66" customFormat="1" ht="14.5">
      <c r="A314" s="186"/>
      <c r="B314" s="187"/>
      <c r="C314" s="188"/>
      <c r="D314" s="188"/>
      <c r="E314" s="189"/>
      <c r="F314" s="190"/>
      <c r="G314" s="190"/>
      <c r="H314" s="189"/>
      <c r="I314" s="189"/>
      <c r="J314" s="191"/>
      <c r="K314" s="191"/>
      <c r="L314" s="61">
        <f t="shared" si="32"/>
        <v>0</v>
      </c>
      <c r="M314" s="192"/>
      <c r="N314" s="193"/>
      <c r="O314" s="192"/>
      <c r="P314" s="194"/>
      <c r="Q314" s="195"/>
      <c r="R314" s="196"/>
      <c r="S314" s="197"/>
      <c r="T314" s="62">
        <f t="shared" si="33"/>
        <v>0</v>
      </c>
      <c r="U314" s="63">
        <f t="shared" si="34"/>
        <v>0</v>
      </c>
      <c r="V314" s="145">
        <f t="shared" si="35"/>
        <v>0</v>
      </c>
      <c r="W314" s="198"/>
      <c r="X314" s="1379"/>
      <c r="Y314" s="1380"/>
      <c r="Z314" s="62">
        <f t="shared" si="36"/>
        <v>0</v>
      </c>
      <c r="AA314" s="146">
        <f t="shared" si="37"/>
        <v>0</v>
      </c>
      <c r="AB314" s="198"/>
      <c r="AC314" s="1379"/>
      <c r="AD314" s="1380"/>
      <c r="AE314" s="62">
        <f t="shared" si="38"/>
        <v>0</v>
      </c>
      <c r="AF314" s="148">
        <f t="shared" si="39"/>
        <v>0</v>
      </c>
      <c r="AG314" s="198"/>
      <c r="AH314" s="1379"/>
      <c r="AI314" s="1380"/>
      <c r="AJ314"/>
      <c r="AK314"/>
      <c r="AL314"/>
      <c r="AM314"/>
      <c r="AN314"/>
    </row>
    <row r="315" spans="1:40" s="66" customFormat="1" ht="14.5">
      <c r="A315" s="186"/>
      <c r="B315" s="187"/>
      <c r="C315" s="188"/>
      <c r="D315" s="188"/>
      <c r="E315" s="189"/>
      <c r="F315" s="190"/>
      <c r="G315" s="190"/>
      <c r="H315" s="189"/>
      <c r="I315" s="189"/>
      <c r="J315" s="191"/>
      <c r="K315" s="191"/>
      <c r="L315" s="61">
        <f t="shared" si="32"/>
        <v>0</v>
      </c>
      <c r="M315" s="192"/>
      <c r="N315" s="193"/>
      <c r="O315" s="192"/>
      <c r="P315" s="194"/>
      <c r="Q315" s="195"/>
      <c r="R315" s="196"/>
      <c r="S315" s="197"/>
      <c r="T315" s="62">
        <f t="shared" si="33"/>
        <v>0</v>
      </c>
      <c r="U315" s="63">
        <f t="shared" si="34"/>
        <v>0</v>
      </c>
      <c r="V315" s="145">
        <f t="shared" si="35"/>
        <v>0</v>
      </c>
      <c r="W315" s="198"/>
      <c r="X315" s="1379"/>
      <c r="Y315" s="1380"/>
      <c r="Z315" s="62">
        <f t="shared" si="36"/>
        <v>0</v>
      </c>
      <c r="AA315" s="146">
        <f t="shared" si="37"/>
        <v>0</v>
      </c>
      <c r="AB315" s="198"/>
      <c r="AC315" s="1379"/>
      <c r="AD315" s="1380"/>
      <c r="AE315" s="62">
        <f t="shared" si="38"/>
        <v>0</v>
      </c>
      <c r="AF315" s="148">
        <f t="shared" si="39"/>
        <v>0</v>
      </c>
      <c r="AG315" s="198"/>
      <c r="AH315" s="1379"/>
      <c r="AI315" s="1380"/>
      <c r="AJ315"/>
      <c r="AK315"/>
      <c r="AL315"/>
      <c r="AM315"/>
      <c r="AN315"/>
    </row>
    <row r="316" spans="1:40" s="66" customFormat="1" ht="14.5">
      <c r="A316" s="186"/>
      <c r="B316" s="187"/>
      <c r="C316" s="188"/>
      <c r="D316" s="188"/>
      <c r="E316" s="189"/>
      <c r="F316" s="190"/>
      <c r="G316" s="190"/>
      <c r="H316" s="189"/>
      <c r="I316" s="189"/>
      <c r="J316" s="191"/>
      <c r="K316" s="191"/>
      <c r="L316" s="61">
        <f t="shared" si="32"/>
        <v>0</v>
      </c>
      <c r="M316" s="192"/>
      <c r="N316" s="193"/>
      <c r="O316" s="192"/>
      <c r="P316" s="194"/>
      <c r="Q316" s="195"/>
      <c r="R316" s="196"/>
      <c r="S316" s="197"/>
      <c r="T316" s="62">
        <f t="shared" si="33"/>
        <v>0</v>
      </c>
      <c r="U316" s="63">
        <f t="shared" si="34"/>
        <v>0</v>
      </c>
      <c r="V316" s="145">
        <f t="shared" si="35"/>
        <v>0</v>
      </c>
      <c r="W316" s="198"/>
      <c r="X316" s="1379"/>
      <c r="Y316" s="1380"/>
      <c r="Z316" s="62">
        <f t="shared" si="36"/>
        <v>0</v>
      </c>
      <c r="AA316" s="146">
        <f t="shared" si="37"/>
        <v>0</v>
      </c>
      <c r="AB316" s="198"/>
      <c r="AC316" s="1379"/>
      <c r="AD316" s="1380"/>
      <c r="AE316" s="62">
        <f t="shared" si="38"/>
        <v>0</v>
      </c>
      <c r="AF316" s="148">
        <f t="shared" si="39"/>
        <v>0</v>
      </c>
      <c r="AG316" s="198"/>
      <c r="AH316" s="1379"/>
      <c r="AI316" s="1380"/>
      <c r="AJ316"/>
      <c r="AK316"/>
      <c r="AL316"/>
      <c r="AM316"/>
      <c r="AN316"/>
    </row>
    <row r="317" spans="1:40" s="66" customFormat="1" ht="14.5">
      <c r="A317" s="186"/>
      <c r="B317" s="187"/>
      <c r="C317" s="188"/>
      <c r="D317" s="188"/>
      <c r="E317" s="189"/>
      <c r="F317" s="190"/>
      <c r="G317" s="190"/>
      <c r="H317" s="189"/>
      <c r="I317" s="189"/>
      <c r="J317" s="191"/>
      <c r="K317" s="191"/>
      <c r="L317" s="61">
        <f t="shared" si="32"/>
        <v>0</v>
      </c>
      <c r="M317" s="192"/>
      <c r="N317" s="193"/>
      <c r="O317" s="192"/>
      <c r="P317" s="194"/>
      <c r="Q317" s="195"/>
      <c r="R317" s="196"/>
      <c r="S317" s="197"/>
      <c r="T317" s="62">
        <f t="shared" si="33"/>
        <v>0</v>
      </c>
      <c r="U317" s="63">
        <f t="shared" si="34"/>
        <v>0</v>
      </c>
      <c r="V317" s="145">
        <f t="shared" si="35"/>
        <v>0</v>
      </c>
      <c r="W317" s="198"/>
      <c r="X317" s="1379"/>
      <c r="Y317" s="1380"/>
      <c r="Z317" s="62">
        <f t="shared" si="36"/>
        <v>0</v>
      </c>
      <c r="AA317" s="146">
        <f t="shared" si="37"/>
        <v>0</v>
      </c>
      <c r="AB317" s="198"/>
      <c r="AC317" s="1379"/>
      <c r="AD317" s="1380"/>
      <c r="AE317" s="62">
        <f t="shared" si="38"/>
        <v>0</v>
      </c>
      <c r="AF317" s="148">
        <f t="shared" si="39"/>
        <v>0</v>
      </c>
      <c r="AG317" s="198"/>
      <c r="AH317" s="1379"/>
      <c r="AI317" s="1380"/>
      <c r="AJ317"/>
      <c r="AK317"/>
      <c r="AL317"/>
      <c r="AM317"/>
      <c r="AN317"/>
    </row>
    <row r="318" spans="1:40" s="66" customFormat="1" ht="14.5">
      <c r="A318" s="186"/>
      <c r="B318" s="187"/>
      <c r="C318" s="188"/>
      <c r="D318" s="188"/>
      <c r="E318" s="189"/>
      <c r="F318" s="190"/>
      <c r="G318" s="190"/>
      <c r="H318" s="189"/>
      <c r="I318" s="189"/>
      <c r="J318" s="191"/>
      <c r="K318" s="191"/>
      <c r="L318" s="61">
        <f t="shared" si="32"/>
        <v>0</v>
      </c>
      <c r="M318" s="192"/>
      <c r="N318" s="193"/>
      <c r="O318" s="192"/>
      <c r="P318" s="194"/>
      <c r="Q318" s="195"/>
      <c r="R318" s="196"/>
      <c r="S318" s="197"/>
      <c r="T318" s="62">
        <f t="shared" si="33"/>
        <v>0</v>
      </c>
      <c r="U318" s="63">
        <f t="shared" si="34"/>
        <v>0</v>
      </c>
      <c r="V318" s="145">
        <f t="shared" si="35"/>
        <v>0</v>
      </c>
      <c r="W318" s="198"/>
      <c r="X318" s="1379"/>
      <c r="Y318" s="1380"/>
      <c r="Z318" s="62">
        <f t="shared" si="36"/>
        <v>0</v>
      </c>
      <c r="AA318" s="146">
        <f t="shared" si="37"/>
        <v>0</v>
      </c>
      <c r="AB318" s="198"/>
      <c r="AC318" s="1379"/>
      <c r="AD318" s="1380"/>
      <c r="AE318" s="62">
        <f t="shared" si="38"/>
        <v>0</v>
      </c>
      <c r="AF318" s="148">
        <f t="shared" si="39"/>
        <v>0</v>
      </c>
      <c r="AG318" s="198"/>
      <c r="AH318" s="1379"/>
      <c r="AI318" s="1380"/>
      <c r="AJ318"/>
      <c r="AK318"/>
      <c r="AL318"/>
      <c r="AM318"/>
      <c r="AN318"/>
    </row>
    <row r="319" spans="1:40" s="66" customFormat="1" ht="14.5">
      <c r="A319" s="186"/>
      <c r="B319" s="187"/>
      <c r="C319" s="188"/>
      <c r="D319" s="188"/>
      <c r="E319" s="189"/>
      <c r="F319" s="190"/>
      <c r="G319" s="190"/>
      <c r="H319" s="189"/>
      <c r="I319" s="189"/>
      <c r="J319" s="191"/>
      <c r="K319" s="191"/>
      <c r="L319" s="61">
        <f t="shared" si="32"/>
        <v>0</v>
      </c>
      <c r="M319" s="192"/>
      <c r="N319" s="193"/>
      <c r="O319" s="192"/>
      <c r="P319" s="194"/>
      <c r="Q319" s="195"/>
      <c r="R319" s="196"/>
      <c r="S319" s="197"/>
      <c r="T319" s="62">
        <f t="shared" si="33"/>
        <v>0</v>
      </c>
      <c r="U319" s="63">
        <f t="shared" si="34"/>
        <v>0</v>
      </c>
      <c r="V319" s="145">
        <f t="shared" si="35"/>
        <v>0</v>
      </c>
      <c r="W319" s="198"/>
      <c r="X319" s="1379"/>
      <c r="Y319" s="1380"/>
      <c r="Z319" s="62">
        <f t="shared" si="36"/>
        <v>0</v>
      </c>
      <c r="AA319" s="146">
        <f t="shared" si="37"/>
        <v>0</v>
      </c>
      <c r="AB319" s="198"/>
      <c r="AC319" s="1379"/>
      <c r="AD319" s="1380"/>
      <c r="AE319" s="62">
        <f t="shared" si="38"/>
        <v>0</v>
      </c>
      <c r="AF319" s="148">
        <f t="shared" si="39"/>
        <v>0</v>
      </c>
      <c r="AG319" s="198"/>
      <c r="AH319" s="1379"/>
      <c r="AI319" s="1380"/>
      <c r="AJ319"/>
      <c r="AK319"/>
      <c r="AL319"/>
      <c r="AM319"/>
      <c r="AN319"/>
    </row>
    <row r="320" spans="1:40" s="66" customFormat="1" ht="14.5">
      <c r="A320" s="186"/>
      <c r="B320" s="187"/>
      <c r="C320" s="188"/>
      <c r="D320" s="188"/>
      <c r="E320" s="189"/>
      <c r="F320" s="190"/>
      <c r="G320" s="190"/>
      <c r="H320" s="189"/>
      <c r="I320" s="189"/>
      <c r="J320" s="191"/>
      <c r="K320" s="191"/>
      <c r="L320" s="61">
        <f t="shared" si="32"/>
        <v>0</v>
      </c>
      <c r="M320" s="192"/>
      <c r="N320" s="193"/>
      <c r="O320" s="192"/>
      <c r="P320" s="194"/>
      <c r="Q320" s="195"/>
      <c r="R320" s="196"/>
      <c r="S320" s="197"/>
      <c r="T320" s="62">
        <f t="shared" si="33"/>
        <v>0</v>
      </c>
      <c r="U320" s="63">
        <f t="shared" si="34"/>
        <v>0</v>
      </c>
      <c r="V320" s="145">
        <f t="shared" si="35"/>
        <v>0</v>
      </c>
      <c r="W320" s="198"/>
      <c r="X320" s="1379"/>
      <c r="Y320" s="1380"/>
      <c r="Z320" s="62">
        <f t="shared" si="36"/>
        <v>0</v>
      </c>
      <c r="AA320" s="146">
        <f t="shared" si="37"/>
        <v>0</v>
      </c>
      <c r="AB320" s="198"/>
      <c r="AC320" s="1379"/>
      <c r="AD320" s="1380"/>
      <c r="AE320" s="62">
        <f t="shared" si="38"/>
        <v>0</v>
      </c>
      <c r="AF320" s="148">
        <f t="shared" si="39"/>
        <v>0</v>
      </c>
      <c r="AG320" s="198"/>
      <c r="AH320" s="1379"/>
      <c r="AI320" s="1380"/>
      <c r="AJ320"/>
      <c r="AK320"/>
      <c r="AL320"/>
      <c r="AM320"/>
      <c r="AN320"/>
    </row>
    <row r="321" spans="1:40" s="66" customFormat="1" ht="14.5">
      <c r="A321" s="186"/>
      <c r="B321" s="187"/>
      <c r="C321" s="188"/>
      <c r="D321" s="188"/>
      <c r="E321" s="189"/>
      <c r="F321" s="190"/>
      <c r="G321" s="190"/>
      <c r="H321" s="189"/>
      <c r="I321" s="189"/>
      <c r="J321" s="191"/>
      <c r="K321" s="191"/>
      <c r="L321" s="61">
        <f t="shared" si="32"/>
        <v>0</v>
      </c>
      <c r="M321" s="192"/>
      <c r="N321" s="193"/>
      <c r="O321" s="192"/>
      <c r="P321" s="194"/>
      <c r="Q321" s="195"/>
      <c r="R321" s="196"/>
      <c r="S321" s="197"/>
      <c r="T321" s="62">
        <f t="shared" si="33"/>
        <v>0</v>
      </c>
      <c r="U321" s="63">
        <f t="shared" si="34"/>
        <v>0</v>
      </c>
      <c r="V321" s="145">
        <f t="shared" si="35"/>
        <v>0</v>
      </c>
      <c r="W321" s="198"/>
      <c r="X321" s="1379"/>
      <c r="Y321" s="1380"/>
      <c r="Z321" s="62">
        <f t="shared" si="36"/>
        <v>0</v>
      </c>
      <c r="AA321" s="146">
        <f t="shared" si="37"/>
        <v>0</v>
      </c>
      <c r="AB321" s="198"/>
      <c r="AC321" s="1379"/>
      <c r="AD321" s="1380"/>
      <c r="AE321" s="62">
        <f t="shared" si="38"/>
        <v>0</v>
      </c>
      <c r="AF321" s="148">
        <f t="shared" si="39"/>
        <v>0</v>
      </c>
      <c r="AG321" s="198"/>
      <c r="AH321" s="1379"/>
      <c r="AI321" s="1380"/>
      <c r="AJ321"/>
      <c r="AK321"/>
      <c r="AL321"/>
      <c r="AM321"/>
      <c r="AN321"/>
    </row>
    <row r="322" spans="1:40" s="66" customFormat="1" ht="14.5">
      <c r="A322" s="186"/>
      <c r="B322" s="187"/>
      <c r="C322" s="188"/>
      <c r="D322" s="188"/>
      <c r="E322" s="189"/>
      <c r="F322" s="190"/>
      <c r="G322" s="190"/>
      <c r="H322" s="189"/>
      <c r="I322" s="189"/>
      <c r="J322" s="191"/>
      <c r="K322" s="191"/>
      <c r="L322" s="61">
        <f t="shared" si="32"/>
        <v>0</v>
      </c>
      <c r="M322" s="192"/>
      <c r="N322" s="193"/>
      <c r="O322" s="192"/>
      <c r="P322" s="194"/>
      <c r="Q322" s="195"/>
      <c r="R322" s="196"/>
      <c r="S322" s="197"/>
      <c r="T322" s="62">
        <f t="shared" si="33"/>
        <v>0</v>
      </c>
      <c r="U322" s="63">
        <f t="shared" si="34"/>
        <v>0</v>
      </c>
      <c r="V322" s="145">
        <f t="shared" si="35"/>
        <v>0</v>
      </c>
      <c r="W322" s="198"/>
      <c r="X322" s="1379"/>
      <c r="Y322" s="1380"/>
      <c r="Z322" s="62">
        <f t="shared" si="36"/>
        <v>0</v>
      </c>
      <c r="AA322" s="146">
        <f t="shared" si="37"/>
        <v>0</v>
      </c>
      <c r="AB322" s="198"/>
      <c r="AC322" s="1379"/>
      <c r="AD322" s="1380"/>
      <c r="AE322" s="62">
        <f t="shared" si="38"/>
        <v>0</v>
      </c>
      <c r="AF322" s="148">
        <f t="shared" si="39"/>
        <v>0</v>
      </c>
      <c r="AG322" s="198"/>
      <c r="AH322" s="1379"/>
      <c r="AI322" s="1380"/>
      <c r="AJ322"/>
      <c r="AK322"/>
      <c r="AL322"/>
      <c r="AM322"/>
      <c r="AN322"/>
    </row>
    <row r="323" spans="1:40" s="66" customFormat="1" ht="14.5">
      <c r="A323" s="186"/>
      <c r="B323" s="187"/>
      <c r="C323" s="188"/>
      <c r="D323" s="188"/>
      <c r="E323" s="189"/>
      <c r="F323" s="190"/>
      <c r="G323" s="190"/>
      <c r="H323" s="189"/>
      <c r="I323" s="189"/>
      <c r="J323" s="191"/>
      <c r="K323" s="191"/>
      <c r="L323" s="61">
        <f t="shared" si="32"/>
        <v>0</v>
      </c>
      <c r="M323" s="192"/>
      <c r="N323" s="193"/>
      <c r="O323" s="192"/>
      <c r="P323" s="194"/>
      <c r="Q323" s="195"/>
      <c r="R323" s="196"/>
      <c r="S323" s="197"/>
      <c r="T323" s="62">
        <f t="shared" si="33"/>
        <v>0</v>
      </c>
      <c r="U323" s="63">
        <f t="shared" si="34"/>
        <v>0</v>
      </c>
      <c r="V323" s="145">
        <f t="shared" si="35"/>
        <v>0</v>
      </c>
      <c r="W323" s="198"/>
      <c r="X323" s="1379"/>
      <c r="Y323" s="1380"/>
      <c r="Z323" s="62">
        <f t="shared" si="36"/>
        <v>0</v>
      </c>
      <c r="AA323" s="146">
        <f t="shared" si="37"/>
        <v>0</v>
      </c>
      <c r="AB323" s="198"/>
      <c r="AC323" s="1379"/>
      <c r="AD323" s="1380"/>
      <c r="AE323" s="62">
        <f t="shared" si="38"/>
        <v>0</v>
      </c>
      <c r="AF323" s="148">
        <f t="shared" si="39"/>
        <v>0</v>
      </c>
      <c r="AG323" s="198"/>
      <c r="AH323" s="1379"/>
      <c r="AI323" s="1380"/>
      <c r="AJ323"/>
      <c r="AK323"/>
      <c r="AL323"/>
      <c r="AM323"/>
      <c r="AN323"/>
    </row>
    <row r="324" spans="1:40" s="66" customFormat="1" ht="14.5">
      <c r="A324" s="186"/>
      <c r="B324" s="187"/>
      <c r="C324" s="188"/>
      <c r="D324" s="188"/>
      <c r="E324" s="189"/>
      <c r="F324" s="190"/>
      <c r="G324" s="190"/>
      <c r="H324" s="189"/>
      <c r="I324" s="189"/>
      <c r="J324" s="191"/>
      <c r="K324" s="191"/>
      <c r="L324" s="61">
        <f t="shared" si="32"/>
        <v>0</v>
      </c>
      <c r="M324" s="192"/>
      <c r="N324" s="193"/>
      <c r="O324" s="192"/>
      <c r="P324" s="194"/>
      <c r="Q324" s="195"/>
      <c r="R324" s="196"/>
      <c r="S324" s="197"/>
      <c r="T324" s="62">
        <f t="shared" si="33"/>
        <v>0</v>
      </c>
      <c r="U324" s="63">
        <f t="shared" si="34"/>
        <v>0</v>
      </c>
      <c r="V324" s="145">
        <f t="shared" si="35"/>
        <v>0</v>
      </c>
      <c r="W324" s="198"/>
      <c r="X324" s="1379"/>
      <c r="Y324" s="1380"/>
      <c r="Z324" s="62">
        <f t="shared" si="36"/>
        <v>0</v>
      </c>
      <c r="AA324" s="146">
        <f t="shared" si="37"/>
        <v>0</v>
      </c>
      <c r="AB324" s="198"/>
      <c r="AC324" s="1379"/>
      <c r="AD324" s="1380"/>
      <c r="AE324" s="62">
        <f t="shared" si="38"/>
        <v>0</v>
      </c>
      <c r="AF324" s="148">
        <f t="shared" si="39"/>
        <v>0</v>
      </c>
      <c r="AG324" s="198"/>
      <c r="AH324" s="1379"/>
      <c r="AI324" s="1380"/>
      <c r="AJ324"/>
      <c r="AK324"/>
      <c r="AL324"/>
      <c r="AM324"/>
      <c r="AN324"/>
    </row>
    <row r="325" spans="1:40" s="66" customFormat="1" ht="14.5">
      <c r="A325" s="186"/>
      <c r="B325" s="187"/>
      <c r="C325" s="188"/>
      <c r="D325" s="188"/>
      <c r="E325" s="189"/>
      <c r="F325" s="190"/>
      <c r="G325" s="190"/>
      <c r="H325" s="189"/>
      <c r="I325" s="189"/>
      <c r="J325" s="191"/>
      <c r="K325" s="191"/>
      <c r="L325" s="61">
        <f t="shared" si="32"/>
        <v>0</v>
      </c>
      <c r="M325" s="192"/>
      <c r="N325" s="193"/>
      <c r="O325" s="192"/>
      <c r="P325" s="194"/>
      <c r="Q325" s="195"/>
      <c r="R325" s="196"/>
      <c r="S325" s="197"/>
      <c r="T325" s="62">
        <f t="shared" si="33"/>
        <v>0</v>
      </c>
      <c r="U325" s="63">
        <f t="shared" si="34"/>
        <v>0</v>
      </c>
      <c r="V325" s="145">
        <f t="shared" si="35"/>
        <v>0</v>
      </c>
      <c r="W325" s="198"/>
      <c r="X325" s="1379"/>
      <c r="Y325" s="1380"/>
      <c r="Z325" s="62">
        <f t="shared" si="36"/>
        <v>0</v>
      </c>
      <c r="AA325" s="146">
        <f t="shared" si="37"/>
        <v>0</v>
      </c>
      <c r="AB325" s="198"/>
      <c r="AC325" s="1379"/>
      <c r="AD325" s="1380"/>
      <c r="AE325" s="62">
        <f t="shared" si="38"/>
        <v>0</v>
      </c>
      <c r="AF325" s="148">
        <f t="shared" si="39"/>
        <v>0</v>
      </c>
      <c r="AG325" s="198"/>
      <c r="AH325" s="1379"/>
      <c r="AI325" s="1380"/>
      <c r="AJ325"/>
      <c r="AK325"/>
      <c r="AL325"/>
      <c r="AM325"/>
      <c r="AN325"/>
    </row>
    <row r="326" spans="1:40" s="66" customFormat="1" ht="14.5">
      <c r="A326" s="186"/>
      <c r="B326" s="187"/>
      <c r="C326" s="188"/>
      <c r="D326" s="188"/>
      <c r="E326" s="189"/>
      <c r="F326" s="190"/>
      <c r="G326" s="190"/>
      <c r="H326" s="189"/>
      <c r="I326" s="189"/>
      <c r="J326" s="191"/>
      <c r="K326" s="191"/>
      <c r="L326" s="61">
        <f t="shared" si="32"/>
        <v>0</v>
      </c>
      <c r="M326" s="192"/>
      <c r="N326" s="193"/>
      <c r="O326" s="192"/>
      <c r="P326" s="194"/>
      <c r="Q326" s="195"/>
      <c r="R326" s="196"/>
      <c r="S326" s="197"/>
      <c r="T326" s="62">
        <f t="shared" si="33"/>
        <v>0</v>
      </c>
      <c r="U326" s="63">
        <f t="shared" si="34"/>
        <v>0</v>
      </c>
      <c r="V326" s="145">
        <f t="shared" si="35"/>
        <v>0</v>
      </c>
      <c r="W326" s="198"/>
      <c r="X326" s="1379"/>
      <c r="Y326" s="1380"/>
      <c r="Z326" s="62">
        <f t="shared" si="36"/>
        <v>0</v>
      </c>
      <c r="AA326" s="146">
        <f t="shared" si="37"/>
        <v>0</v>
      </c>
      <c r="AB326" s="198"/>
      <c r="AC326" s="1379"/>
      <c r="AD326" s="1380"/>
      <c r="AE326" s="62">
        <f t="shared" si="38"/>
        <v>0</v>
      </c>
      <c r="AF326" s="148">
        <f t="shared" si="39"/>
        <v>0</v>
      </c>
      <c r="AG326" s="198"/>
      <c r="AH326" s="1379"/>
      <c r="AI326" s="1380"/>
      <c r="AJ326"/>
      <c r="AK326"/>
      <c r="AL326"/>
      <c r="AM326"/>
      <c r="AN326"/>
    </row>
    <row r="327" spans="1:40" s="66" customFormat="1" ht="14.5">
      <c r="A327" s="186"/>
      <c r="B327" s="187"/>
      <c r="C327" s="188"/>
      <c r="D327" s="188"/>
      <c r="E327" s="189"/>
      <c r="F327" s="190"/>
      <c r="G327" s="190"/>
      <c r="H327" s="189"/>
      <c r="I327" s="189"/>
      <c r="J327" s="191"/>
      <c r="K327" s="191"/>
      <c r="L327" s="61">
        <f t="shared" si="32"/>
        <v>0</v>
      </c>
      <c r="M327" s="192"/>
      <c r="N327" s="193"/>
      <c r="O327" s="192"/>
      <c r="P327" s="194"/>
      <c r="Q327" s="195"/>
      <c r="R327" s="196"/>
      <c r="S327" s="197"/>
      <c r="T327" s="62">
        <f t="shared" si="33"/>
        <v>0</v>
      </c>
      <c r="U327" s="63">
        <f t="shared" si="34"/>
        <v>0</v>
      </c>
      <c r="V327" s="145">
        <f t="shared" si="35"/>
        <v>0</v>
      </c>
      <c r="W327" s="198"/>
      <c r="X327" s="1379"/>
      <c r="Y327" s="1380"/>
      <c r="Z327" s="62">
        <f t="shared" si="36"/>
        <v>0</v>
      </c>
      <c r="AA327" s="146">
        <f t="shared" si="37"/>
        <v>0</v>
      </c>
      <c r="AB327" s="198"/>
      <c r="AC327" s="1379"/>
      <c r="AD327" s="1380"/>
      <c r="AE327" s="62">
        <f t="shared" si="38"/>
        <v>0</v>
      </c>
      <c r="AF327" s="148">
        <f t="shared" si="39"/>
        <v>0</v>
      </c>
      <c r="AG327" s="198"/>
      <c r="AH327" s="1379"/>
      <c r="AI327" s="1380"/>
      <c r="AJ327"/>
      <c r="AK327"/>
      <c r="AL327"/>
      <c r="AM327"/>
      <c r="AN327"/>
    </row>
    <row r="328" spans="1:40" s="66" customFormat="1" ht="14.5">
      <c r="A328" s="186"/>
      <c r="B328" s="187"/>
      <c r="C328" s="188"/>
      <c r="D328" s="188"/>
      <c r="E328" s="189"/>
      <c r="F328" s="190"/>
      <c r="G328" s="190"/>
      <c r="H328" s="189"/>
      <c r="I328" s="189"/>
      <c r="J328" s="191"/>
      <c r="K328" s="191"/>
      <c r="L328" s="61">
        <f t="shared" si="32"/>
        <v>0</v>
      </c>
      <c r="M328" s="192"/>
      <c r="N328" s="193"/>
      <c r="O328" s="192"/>
      <c r="P328" s="194"/>
      <c r="Q328" s="195"/>
      <c r="R328" s="196"/>
      <c r="S328" s="197"/>
      <c r="T328" s="62">
        <f t="shared" si="33"/>
        <v>0</v>
      </c>
      <c r="U328" s="63">
        <f t="shared" si="34"/>
        <v>0</v>
      </c>
      <c r="V328" s="145">
        <f t="shared" si="35"/>
        <v>0</v>
      </c>
      <c r="W328" s="198"/>
      <c r="X328" s="1379"/>
      <c r="Y328" s="1380"/>
      <c r="Z328" s="62">
        <f t="shared" si="36"/>
        <v>0</v>
      </c>
      <c r="AA328" s="146">
        <f t="shared" si="37"/>
        <v>0</v>
      </c>
      <c r="AB328" s="198"/>
      <c r="AC328" s="1379"/>
      <c r="AD328" s="1380"/>
      <c r="AE328" s="62">
        <f t="shared" si="38"/>
        <v>0</v>
      </c>
      <c r="AF328" s="148">
        <f t="shared" si="39"/>
        <v>0</v>
      </c>
      <c r="AG328" s="198"/>
      <c r="AH328" s="1379"/>
      <c r="AI328" s="1380"/>
      <c r="AJ328"/>
      <c r="AK328"/>
      <c r="AL328"/>
      <c r="AM328"/>
      <c r="AN328"/>
    </row>
    <row r="329" spans="1:40" s="66" customFormat="1" ht="14.5">
      <c r="A329" s="186"/>
      <c r="B329" s="187"/>
      <c r="C329" s="188"/>
      <c r="D329" s="188"/>
      <c r="E329" s="189"/>
      <c r="F329" s="190"/>
      <c r="G329" s="190"/>
      <c r="H329" s="189"/>
      <c r="I329" s="189"/>
      <c r="J329" s="191"/>
      <c r="K329" s="191"/>
      <c r="L329" s="61">
        <f t="shared" si="32"/>
        <v>0</v>
      </c>
      <c r="M329" s="192"/>
      <c r="N329" s="193"/>
      <c r="O329" s="192"/>
      <c r="P329" s="194"/>
      <c r="Q329" s="195"/>
      <c r="R329" s="196"/>
      <c r="S329" s="197"/>
      <c r="T329" s="62">
        <f t="shared" si="33"/>
        <v>0</v>
      </c>
      <c r="U329" s="63">
        <f t="shared" si="34"/>
        <v>0</v>
      </c>
      <c r="V329" s="145">
        <f t="shared" si="35"/>
        <v>0</v>
      </c>
      <c r="W329" s="198"/>
      <c r="X329" s="1379"/>
      <c r="Y329" s="1380"/>
      <c r="Z329" s="62">
        <f t="shared" si="36"/>
        <v>0</v>
      </c>
      <c r="AA329" s="146">
        <f t="shared" si="37"/>
        <v>0</v>
      </c>
      <c r="AB329" s="198"/>
      <c r="AC329" s="1379"/>
      <c r="AD329" s="1380"/>
      <c r="AE329" s="62">
        <f t="shared" si="38"/>
        <v>0</v>
      </c>
      <c r="AF329" s="148">
        <f t="shared" si="39"/>
        <v>0</v>
      </c>
      <c r="AG329" s="198"/>
      <c r="AH329" s="1379"/>
      <c r="AI329" s="1380"/>
      <c r="AJ329"/>
      <c r="AK329"/>
      <c r="AL329"/>
      <c r="AM329"/>
      <c r="AN329"/>
    </row>
    <row r="330" spans="1:40" s="66" customFormat="1" ht="14.5">
      <c r="A330" s="186"/>
      <c r="B330" s="187"/>
      <c r="C330" s="188"/>
      <c r="D330" s="188"/>
      <c r="E330" s="189"/>
      <c r="F330" s="190"/>
      <c r="G330" s="190"/>
      <c r="H330" s="189"/>
      <c r="I330" s="189"/>
      <c r="J330" s="191"/>
      <c r="K330" s="191"/>
      <c r="L330" s="61">
        <f t="shared" si="32"/>
        <v>0</v>
      </c>
      <c r="M330" s="192"/>
      <c r="N330" s="193"/>
      <c r="O330" s="192"/>
      <c r="P330" s="194"/>
      <c r="Q330" s="195"/>
      <c r="R330" s="196"/>
      <c r="S330" s="197"/>
      <c r="T330" s="62">
        <f t="shared" si="33"/>
        <v>0</v>
      </c>
      <c r="U330" s="63">
        <f t="shared" si="34"/>
        <v>0</v>
      </c>
      <c r="V330" s="145">
        <f t="shared" si="35"/>
        <v>0</v>
      </c>
      <c r="W330" s="198"/>
      <c r="X330" s="1379"/>
      <c r="Y330" s="1380"/>
      <c r="Z330" s="62">
        <f t="shared" si="36"/>
        <v>0</v>
      </c>
      <c r="AA330" s="146">
        <f t="shared" si="37"/>
        <v>0</v>
      </c>
      <c r="AB330" s="198"/>
      <c r="AC330" s="1379"/>
      <c r="AD330" s="1380"/>
      <c r="AE330" s="62">
        <f t="shared" si="38"/>
        <v>0</v>
      </c>
      <c r="AF330" s="148">
        <f t="shared" si="39"/>
        <v>0</v>
      </c>
      <c r="AG330" s="198"/>
      <c r="AH330" s="1379"/>
      <c r="AI330" s="1380"/>
      <c r="AJ330"/>
      <c r="AK330"/>
      <c r="AL330"/>
      <c r="AM330"/>
      <c r="AN330"/>
    </row>
    <row r="331" spans="1:40" s="66" customFormat="1" ht="14.5">
      <c r="A331" s="186"/>
      <c r="B331" s="187"/>
      <c r="C331" s="188"/>
      <c r="D331" s="188"/>
      <c r="E331" s="189"/>
      <c r="F331" s="190"/>
      <c r="G331" s="190"/>
      <c r="H331" s="189"/>
      <c r="I331" s="189"/>
      <c r="J331" s="191"/>
      <c r="K331" s="191"/>
      <c r="L331" s="61">
        <f t="shared" si="32"/>
        <v>0</v>
      </c>
      <c r="M331" s="192"/>
      <c r="N331" s="193"/>
      <c r="O331" s="192"/>
      <c r="P331" s="194"/>
      <c r="Q331" s="195"/>
      <c r="R331" s="196"/>
      <c r="S331" s="197"/>
      <c r="T331" s="62">
        <f t="shared" si="33"/>
        <v>0</v>
      </c>
      <c r="U331" s="63">
        <f t="shared" si="34"/>
        <v>0</v>
      </c>
      <c r="V331" s="145">
        <f t="shared" si="35"/>
        <v>0</v>
      </c>
      <c r="W331" s="198"/>
      <c r="X331" s="1379"/>
      <c r="Y331" s="1380"/>
      <c r="Z331" s="62">
        <f t="shared" si="36"/>
        <v>0</v>
      </c>
      <c r="AA331" s="146">
        <f t="shared" si="37"/>
        <v>0</v>
      </c>
      <c r="AB331" s="198"/>
      <c r="AC331" s="1379"/>
      <c r="AD331" s="1380"/>
      <c r="AE331" s="62">
        <f t="shared" si="38"/>
        <v>0</v>
      </c>
      <c r="AF331" s="148">
        <f t="shared" si="39"/>
        <v>0</v>
      </c>
      <c r="AG331" s="198"/>
      <c r="AH331" s="1379"/>
      <c r="AI331" s="1380"/>
      <c r="AJ331"/>
      <c r="AK331"/>
      <c r="AL331"/>
      <c r="AM331"/>
      <c r="AN331"/>
    </row>
    <row r="332" spans="1:40" s="66" customFormat="1" ht="14.5">
      <c r="A332" s="186"/>
      <c r="B332" s="187"/>
      <c r="C332" s="188"/>
      <c r="D332" s="188"/>
      <c r="E332" s="189"/>
      <c r="F332" s="190"/>
      <c r="G332" s="190"/>
      <c r="H332" s="189"/>
      <c r="I332" s="189"/>
      <c r="J332" s="191"/>
      <c r="K332" s="191"/>
      <c r="L332" s="61">
        <f t="shared" si="32"/>
        <v>0</v>
      </c>
      <c r="M332" s="192"/>
      <c r="N332" s="193"/>
      <c r="O332" s="192"/>
      <c r="P332" s="194"/>
      <c r="Q332" s="195"/>
      <c r="R332" s="196"/>
      <c r="S332" s="197"/>
      <c r="T332" s="62">
        <f t="shared" si="33"/>
        <v>0</v>
      </c>
      <c r="U332" s="63">
        <f t="shared" si="34"/>
        <v>0</v>
      </c>
      <c r="V332" s="145">
        <f t="shared" si="35"/>
        <v>0</v>
      </c>
      <c r="W332" s="198"/>
      <c r="X332" s="1379"/>
      <c r="Y332" s="1380"/>
      <c r="Z332" s="62">
        <f t="shared" si="36"/>
        <v>0</v>
      </c>
      <c r="AA332" s="146">
        <f t="shared" si="37"/>
        <v>0</v>
      </c>
      <c r="AB332" s="198"/>
      <c r="AC332" s="1379"/>
      <c r="AD332" s="1380"/>
      <c r="AE332" s="62">
        <f t="shared" si="38"/>
        <v>0</v>
      </c>
      <c r="AF332" s="148">
        <f t="shared" si="39"/>
        <v>0</v>
      </c>
      <c r="AG332" s="198"/>
      <c r="AH332" s="1379"/>
      <c r="AI332" s="1380"/>
      <c r="AJ332"/>
      <c r="AK332"/>
      <c r="AL332"/>
      <c r="AM332"/>
      <c r="AN332"/>
    </row>
    <row r="333" spans="1:40" s="66" customFormat="1" ht="14.5">
      <c r="A333" s="186"/>
      <c r="B333" s="187"/>
      <c r="C333" s="188"/>
      <c r="D333" s="188"/>
      <c r="E333" s="189"/>
      <c r="F333" s="190"/>
      <c r="G333" s="190"/>
      <c r="H333" s="189"/>
      <c r="I333" s="189"/>
      <c r="J333" s="191"/>
      <c r="K333" s="191"/>
      <c r="L333" s="61">
        <f t="shared" si="32"/>
        <v>0</v>
      </c>
      <c r="M333" s="192"/>
      <c r="N333" s="193"/>
      <c r="O333" s="192"/>
      <c r="P333" s="194"/>
      <c r="Q333" s="195"/>
      <c r="R333" s="196"/>
      <c r="S333" s="197"/>
      <c r="T333" s="62">
        <f t="shared" si="33"/>
        <v>0</v>
      </c>
      <c r="U333" s="63">
        <f t="shared" si="34"/>
        <v>0</v>
      </c>
      <c r="V333" s="145">
        <f t="shared" si="35"/>
        <v>0</v>
      </c>
      <c r="W333" s="198"/>
      <c r="X333" s="1379"/>
      <c r="Y333" s="1380"/>
      <c r="Z333" s="62">
        <f t="shared" si="36"/>
        <v>0</v>
      </c>
      <c r="AA333" s="146">
        <f t="shared" si="37"/>
        <v>0</v>
      </c>
      <c r="AB333" s="198"/>
      <c r="AC333" s="1379"/>
      <c r="AD333" s="1380"/>
      <c r="AE333" s="62">
        <f t="shared" si="38"/>
        <v>0</v>
      </c>
      <c r="AF333" s="148">
        <f t="shared" si="39"/>
        <v>0</v>
      </c>
      <c r="AG333" s="198"/>
      <c r="AH333" s="1379"/>
      <c r="AI333" s="1380"/>
      <c r="AJ333"/>
      <c r="AK333"/>
      <c r="AL333"/>
      <c r="AM333"/>
      <c r="AN333"/>
    </row>
    <row r="334" spans="1:40" s="66" customFormat="1" ht="14.5">
      <c r="A334" s="186"/>
      <c r="B334" s="187"/>
      <c r="C334" s="188"/>
      <c r="D334" s="188"/>
      <c r="E334" s="189"/>
      <c r="F334" s="190"/>
      <c r="G334" s="190"/>
      <c r="H334" s="189"/>
      <c r="I334" s="189"/>
      <c r="J334" s="191"/>
      <c r="K334" s="191"/>
      <c r="L334" s="61">
        <f t="shared" ref="L334:L397" si="40">IF(I334=0,0,(K334+J334)/I334)</f>
        <v>0</v>
      </c>
      <c r="M334" s="192"/>
      <c r="N334" s="193"/>
      <c r="O334" s="192"/>
      <c r="P334" s="194"/>
      <c r="Q334" s="195"/>
      <c r="R334" s="196"/>
      <c r="S334" s="197"/>
      <c r="T334" s="62">
        <f t="shared" ref="T334:T397" si="41">IF(S334=0,0,((S334*Q334)-Z334))</f>
        <v>0</v>
      </c>
      <c r="U334" s="63">
        <f t="shared" ref="U334:U397" si="42">+Q334-I334</f>
        <v>0</v>
      </c>
      <c r="V334" s="145">
        <f t="shared" ref="V334:V397" si="43">(T334-J334)</f>
        <v>0</v>
      </c>
      <c r="W334" s="198"/>
      <c r="X334" s="1379"/>
      <c r="Y334" s="1380"/>
      <c r="Z334" s="62">
        <f t="shared" ref="Z334:Z397" si="44">IF(I334=0,0,M334/H334*Q334)</f>
        <v>0</v>
      </c>
      <c r="AA334" s="146">
        <f t="shared" ref="AA334:AA397" si="45">+Z334-O334</f>
        <v>0</v>
      </c>
      <c r="AB334" s="198"/>
      <c r="AC334" s="1379"/>
      <c r="AD334" s="1380"/>
      <c r="AE334" s="62">
        <f t="shared" ref="AE334:AE397" si="46">IF(H334=0, 0, N334 / H334 * R334)</f>
        <v>0</v>
      </c>
      <c r="AF334" s="148">
        <f t="shared" ref="AF334:AF397" si="47">+AE334-P334</f>
        <v>0</v>
      </c>
      <c r="AG334" s="198"/>
      <c r="AH334" s="1379"/>
      <c r="AI334" s="1380"/>
      <c r="AJ334"/>
      <c r="AK334"/>
      <c r="AL334"/>
      <c r="AM334"/>
      <c r="AN334"/>
    </row>
    <row r="335" spans="1:40" s="66" customFormat="1" ht="14.5">
      <c r="A335" s="186"/>
      <c r="B335" s="187"/>
      <c r="C335" s="188"/>
      <c r="D335" s="188"/>
      <c r="E335" s="189"/>
      <c r="F335" s="190"/>
      <c r="G335" s="190"/>
      <c r="H335" s="189"/>
      <c r="I335" s="189"/>
      <c r="J335" s="191"/>
      <c r="K335" s="191"/>
      <c r="L335" s="61">
        <f t="shared" si="40"/>
        <v>0</v>
      </c>
      <c r="M335" s="192"/>
      <c r="N335" s="193"/>
      <c r="O335" s="192"/>
      <c r="P335" s="194"/>
      <c r="Q335" s="195"/>
      <c r="R335" s="196"/>
      <c r="S335" s="197"/>
      <c r="T335" s="62">
        <f t="shared" si="41"/>
        <v>0</v>
      </c>
      <c r="U335" s="63">
        <f t="shared" si="42"/>
        <v>0</v>
      </c>
      <c r="V335" s="145">
        <f t="shared" si="43"/>
        <v>0</v>
      </c>
      <c r="W335" s="198"/>
      <c r="X335" s="1379"/>
      <c r="Y335" s="1380"/>
      <c r="Z335" s="62">
        <f t="shared" si="44"/>
        <v>0</v>
      </c>
      <c r="AA335" s="146">
        <f t="shared" si="45"/>
        <v>0</v>
      </c>
      <c r="AB335" s="198"/>
      <c r="AC335" s="1379"/>
      <c r="AD335" s="1380"/>
      <c r="AE335" s="62">
        <f t="shared" si="46"/>
        <v>0</v>
      </c>
      <c r="AF335" s="148">
        <f t="shared" si="47"/>
        <v>0</v>
      </c>
      <c r="AG335" s="198"/>
      <c r="AH335" s="1379"/>
      <c r="AI335" s="1380"/>
      <c r="AJ335"/>
      <c r="AK335"/>
      <c r="AL335"/>
      <c r="AM335"/>
      <c r="AN335"/>
    </row>
    <row r="336" spans="1:40" s="66" customFormat="1" ht="14.5">
      <c r="A336" s="186"/>
      <c r="B336" s="187"/>
      <c r="C336" s="188"/>
      <c r="D336" s="188"/>
      <c r="E336" s="189"/>
      <c r="F336" s="190"/>
      <c r="G336" s="190"/>
      <c r="H336" s="189"/>
      <c r="I336" s="189"/>
      <c r="J336" s="191"/>
      <c r="K336" s="191"/>
      <c r="L336" s="61">
        <f t="shared" si="40"/>
        <v>0</v>
      </c>
      <c r="M336" s="192"/>
      <c r="N336" s="193"/>
      <c r="O336" s="192"/>
      <c r="P336" s="194"/>
      <c r="Q336" s="195"/>
      <c r="R336" s="196"/>
      <c r="S336" s="197"/>
      <c r="T336" s="62">
        <f t="shared" si="41"/>
        <v>0</v>
      </c>
      <c r="U336" s="63">
        <f t="shared" si="42"/>
        <v>0</v>
      </c>
      <c r="V336" s="145">
        <f t="shared" si="43"/>
        <v>0</v>
      </c>
      <c r="W336" s="198"/>
      <c r="X336" s="1379"/>
      <c r="Y336" s="1380"/>
      <c r="Z336" s="62">
        <f t="shared" si="44"/>
        <v>0</v>
      </c>
      <c r="AA336" s="146">
        <f t="shared" si="45"/>
        <v>0</v>
      </c>
      <c r="AB336" s="198"/>
      <c r="AC336" s="1379"/>
      <c r="AD336" s="1380"/>
      <c r="AE336" s="62">
        <f t="shared" si="46"/>
        <v>0</v>
      </c>
      <c r="AF336" s="148">
        <f t="shared" si="47"/>
        <v>0</v>
      </c>
      <c r="AG336" s="198"/>
      <c r="AH336" s="1379"/>
      <c r="AI336" s="1380"/>
      <c r="AJ336"/>
      <c r="AK336"/>
      <c r="AL336"/>
      <c r="AM336"/>
      <c r="AN336"/>
    </row>
    <row r="337" spans="1:40" s="66" customFormat="1" ht="14.5">
      <c r="A337" s="186"/>
      <c r="B337" s="187"/>
      <c r="C337" s="188"/>
      <c r="D337" s="188"/>
      <c r="E337" s="189"/>
      <c r="F337" s="190"/>
      <c r="G337" s="190"/>
      <c r="H337" s="189"/>
      <c r="I337" s="189"/>
      <c r="J337" s="191"/>
      <c r="K337" s="191"/>
      <c r="L337" s="61">
        <f t="shared" si="40"/>
        <v>0</v>
      </c>
      <c r="M337" s="192"/>
      <c r="N337" s="193"/>
      <c r="O337" s="192"/>
      <c r="P337" s="194"/>
      <c r="Q337" s="195"/>
      <c r="R337" s="196"/>
      <c r="S337" s="197"/>
      <c r="T337" s="62">
        <f t="shared" si="41"/>
        <v>0</v>
      </c>
      <c r="U337" s="63">
        <f t="shared" si="42"/>
        <v>0</v>
      </c>
      <c r="V337" s="145">
        <f t="shared" si="43"/>
        <v>0</v>
      </c>
      <c r="W337" s="198"/>
      <c r="X337" s="1379"/>
      <c r="Y337" s="1380"/>
      <c r="Z337" s="62">
        <f t="shared" si="44"/>
        <v>0</v>
      </c>
      <c r="AA337" s="146">
        <f t="shared" si="45"/>
        <v>0</v>
      </c>
      <c r="AB337" s="198"/>
      <c r="AC337" s="1379"/>
      <c r="AD337" s="1380"/>
      <c r="AE337" s="62">
        <f t="shared" si="46"/>
        <v>0</v>
      </c>
      <c r="AF337" s="148">
        <f t="shared" si="47"/>
        <v>0</v>
      </c>
      <c r="AG337" s="198"/>
      <c r="AH337" s="1379"/>
      <c r="AI337" s="1380"/>
      <c r="AJ337"/>
      <c r="AK337"/>
      <c r="AL337"/>
      <c r="AM337"/>
      <c r="AN337"/>
    </row>
    <row r="338" spans="1:40" s="66" customFormat="1" ht="14.5">
      <c r="A338" s="186"/>
      <c r="B338" s="187"/>
      <c r="C338" s="188"/>
      <c r="D338" s="188"/>
      <c r="E338" s="189"/>
      <c r="F338" s="190"/>
      <c r="G338" s="190"/>
      <c r="H338" s="189"/>
      <c r="I338" s="189"/>
      <c r="J338" s="191"/>
      <c r="K338" s="191"/>
      <c r="L338" s="61">
        <f t="shared" si="40"/>
        <v>0</v>
      </c>
      <c r="M338" s="192"/>
      <c r="N338" s="193"/>
      <c r="O338" s="192"/>
      <c r="P338" s="194"/>
      <c r="Q338" s="195"/>
      <c r="R338" s="196"/>
      <c r="S338" s="197"/>
      <c r="T338" s="62">
        <f t="shared" si="41"/>
        <v>0</v>
      </c>
      <c r="U338" s="63">
        <f t="shared" si="42"/>
        <v>0</v>
      </c>
      <c r="V338" s="145">
        <f t="shared" si="43"/>
        <v>0</v>
      </c>
      <c r="W338" s="198"/>
      <c r="X338" s="1379"/>
      <c r="Y338" s="1380"/>
      <c r="Z338" s="62">
        <f t="shared" si="44"/>
        <v>0</v>
      </c>
      <c r="AA338" s="146">
        <f t="shared" si="45"/>
        <v>0</v>
      </c>
      <c r="AB338" s="198"/>
      <c r="AC338" s="1379"/>
      <c r="AD338" s="1380"/>
      <c r="AE338" s="62">
        <f t="shared" si="46"/>
        <v>0</v>
      </c>
      <c r="AF338" s="148">
        <f t="shared" si="47"/>
        <v>0</v>
      </c>
      <c r="AG338" s="198"/>
      <c r="AH338" s="1379"/>
      <c r="AI338" s="1380"/>
      <c r="AJ338"/>
      <c r="AK338"/>
      <c r="AL338"/>
      <c r="AM338"/>
      <c r="AN338"/>
    </row>
    <row r="339" spans="1:40" s="66" customFormat="1" ht="14.5">
      <c r="A339" s="186"/>
      <c r="B339" s="187"/>
      <c r="C339" s="188"/>
      <c r="D339" s="188"/>
      <c r="E339" s="189"/>
      <c r="F339" s="190"/>
      <c r="G339" s="190"/>
      <c r="H339" s="189"/>
      <c r="I339" s="189"/>
      <c r="J339" s="191"/>
      <c r="K339" s="191"/>
      <c r="L339" s="61">
        <f t="shared" si="40"/>
        <v>0</v>
      </c>
      <c r="M339" s="192"/>
      <c r="N339" s="193"/>
      <c r="O339" s="192"/>
      <c r="P339" s="194"/>
      <c r="Q339" s="195"/>
      <c r="R339" s="196"/>
      <c r="S339" s="197"/>
      <c r="T339" s="62">
        <f t="shared" si="41"/>
        <v>0</v>
      </c>
      <c r="U339" s="63">
        <f t="shared" si="42"/>
        <v>0</v>
      </c>
      <c r="V339" s="145">
        <f t="shared" si="43"/>
        <v>0</v>
      </c>
      <c r="W339" s="198"/>
      <c r="X339" s="1379"/>
      <c r="Y339" s="1380"/>
      <c r="Z339" s="62">
        <f t="shared" si="44"/>
        <v>0</v>
      </c>
      <c r="AA339" s="146">
        <f t="shared" si="45"/>
        <v>0</v>
      </c>
      <c r="AB339" s="198"/>
      <c r="AC339" s="1379"/>
      <c r="AD339" s="1380"/>
      <c r="AE339" s="62">
        <f t="shared" si="46"/>
        <v>0</v>
      </c>
      <c r="AF339" s="148">
        <f t="shared" si="47"/>
        <v>0</v>
      </c>
      <c r="AG339" s="198"/>
      <c r="AH339" s="1379"/>
      <c r="AI339" s="1380"/>
      <c r="AJ339"/>
      <c r="AK339"/>
      <c r="AL339"/>
      <c r="AM339"/>
      <c r="AN339"/>
    </row>
    <row r="340" spans="1:40" s="66" customFormat="1" ht="14.5">
      <c r="A340" s="186"/>
      <c r="B340" s="187"/>
      <c r="C340" s="188"/>
      <c r="D340" s="188"/>
      <c r="E340" s="189"/>
      <c r="F340" s="190"/>
      <c r="G340" s="190"/>
      <c r="H340" s="189"/>
      <c r="I340" s="189"/>
      <c r="J340" s="191"/>
      <c r="K340" s="191"/>
      <c r="L340" s="61">
        <f t="shared" si="40"/>
        <v>0</v>
      </c>
      <c r="M340" s="192"/>
      <c r="N340" s="193"/>
      <c r="O340" s="192"/>
      <c r="P340" s="194"/>
      <c r="Q340" s="195"/>
      <c r="R340" s="196"/>
      <c r="S340" s="197"/>
      <c r="T340" s="62">
        <f t="shared" si="41"/>
        <v>0</v>
      </c>
      <c r="U340" s="63">
        <f t="shared" si="42"/>
        <v>0</v>
      </c>
      <c r="V340" s="145">
        <f t="shared" si="43"/>
        <v>0</v>
      </c>
      <c r="W340" s="198"/>
      <c r="X340" s="1379"/>
      <c r="Y340" s="1380"/>
      <c r="Z340" s="62">
        <f t="shared" si="44"/>
        <v>0</v>
      </c>
      <c r="AA340" s="146">
        <f t="shared" si="45"/>
        <v>0</v>
      </c>
      <c r="AB340" s="198"/>
      <c r="AC340" s="1379"/>
      <c r="AD340" s="1380"/>
      <c r="AE340" s="62">
        <f t="shared" si="46"/>
        <v>0</v>
      </c>
      <c r="AF340" s="148">
        <f t="shared" si="47"/>
        <v>0</v>
      </c>
      <c r="AG340" s="198"/>
      <c r="AH340" s="1379"/>
      <c r="AI340" s="1380"/>
      <c r="AJ340"/>
      <c r="AK340"/>
      <c r="AL340"/>
      <c r="AM340"/>
      <c r="AN340"/>
    </row>
    <row r="341" spans="1:40" s="66" customFormat="1" ht="14.5">
      <c r="A341" s="186"/>
      <c r="B341" s="187"/>
      <c r="C341" s="188"/>
      <c r="D341" s="188"/>
      <c r="E341" s="189"/>
      <c r="F341" s="190"/>
      <c r="G341" s="190"/>
      <c r="H341" s="189"/>
      <c r="I341" s="189"/>
      <c r="J341" s="191"/>
      <c r="K341" s="191"/>
      <c r="L341" s="61">
        <f t="shared" si="40"/>
        <v>0</v>
      </c>
      <c r="M341" s="192"/>
      <c r="N341" s="193"/>
      <c r="O341" s="192"/>
      <c r="P341" s="194"/>
      <c r="Q341" s="195"/>
      <c r="R341" s="196"/>
      <c r="S341" s="197"/>
      <c r="T341" s="62">
        <f t="shared" si="41"/>
        <v>0</v>
      </c>
      <c r="U341" s="63">
        <f t="shared" si="42"/>
        <v>0</v>
      </c>
      <c r="V341" s="145">
        <f t="shared" si="43"/>
        <v>0</v>
      </c>
      <c r="W341" s="198"/>
      <c r="X341" s="1379"/>
      <c r="Y341" s="1380"/>
      <c r="Z341" s="62">
        <f t="shared" si="44"/>
        <v>0</v>
      </c>
      <c r="AA341" s="146">
        <f t="shared" si="45"/>
        <v>0</v>
      </c>
      <c r="AB341" s="198"/>
      <c r="AC341" s="1379"/>
      <c r="AD341" s="1380"/>
      <c r="AE341" s="62">
        <f t="shared" si="46"/>
        <v>0</v>
      </c>
      <c r="AF341" s="148">
        <f t="shared" si="47"/>
        <v>0</v>
      </c>
      <c r="AG341" s="198"/>
      <c r="AH341" s="1379"/>
      <c r="AI341" s="1380"/>
      <c r="AJ341"/>
      <c r="AK341"/>
      <c r="AL341"/>
      <c r="AM341"/>
      <c r="AN341"/>
    </row>
    <row r="342" spans="1:40" s="66" customFormat="1" ht="14.5">
      <c r="A342" s="186"/>
      <c r="B342" s="187"/>
      <c r="C342" s="188"/>
      <c r="D342" s="188"/>
      <c r="E342" s="189"/>
      <c r="F342" s="190"/>
      <c r="G342" s="190"/>
      <c r="H342" s="189"/>
      <c r="I342" s="189"/>
      <c r="J342" s="191"/>
      <c r="K342" s="191"/>
      <c r="L342" s="61">
        <f t="shared" si="40"/>
        <v>0</v>
      </c>
      <c r="M342" s="192"/>
      <c r="N342" s="193"/>
      <c r="O342" s="192"/>
      <c r="P342" s="194"/>
      <c r="Q342" s="195"/>
      <c r="R342" s="196"/>
      <c r="S342" s="197"/>
      <c r="T342" s="62">
        <f t="shared" si="41"/>
        <v>0</v>
      </c>
      <c r="U342" s="63">
        <f t="shared" si="42"/>
        <v>0</v>
      </c>
      <c r="V342" s="145">
        <f t="shared" si="43"/>
        <v>0</v>
      </c>
      <c r="W342" s="198"/>
      <c r="X342" s="1379"/>
      <c r="Y342" s="1380"/>
      <c r="Z342" s="62">
        <f t="shared" si="44"/>
        <v>0</v>
      </c>
      <c r="AA342" s="146">
        <f t="shared" si="45"/>
        <v>0</v>
      </c>
      <c r="AB342" s="198"/>
      <c r="AC342" s="1379"/>
      <c r="AD342" s="1380"/>
      <c r="AE342" s="62">
        <f t="shared" si="46"/>
        <v>0</v>
      </c>
      <c r="AF342" s="148">
        <f t="shared" si="47"/>
        <v>0</v>
      </c>
      <c r="AG342" s="198"/>
      <c r="AH342" s="1379"/>
      <c r="AI342" s="1380"/>
      <c r="AJ342"/>
      <c r="AK342"/>
      <c r="AL342"/>
      <c r="AM342"/>
      <c r="AN342"/>
    </row>
    <row r="343" spans="1:40" s="66" customFormat="1" ht="14.5">
      <c r="A343" s="186"/>
      <c r="B343" s="187"/>
      <c r="C343" s="188"/>
      <c r="D343" s="188"/>
      <c r="E343" s="189"/>
      <c r="F343" s="190"/>
      <c r="G343" s="190"/>
      <c r="H343" s="189"/>
      <c r="I343" s="189"/>
      <c r="J343" s="191"/>
      <c r="K343" s="191"/>
      <c r="L343" s="61">
        <f t="shared" si="40"/>
        <v>0</v>
      </c>
      <c r="M343" s="192"/>
      <c r="N343" s="193"/>
      <c r="O343" s="192"/>
      <c r="P343" s="194"/>
      <c r="Q343" s="195"/>
      <c r="R343" s="196"/>
      <c r="S343" s="197"/>
      <c r="T343" s="62">
        <f t="shared" si="41"/>
        <v>0</v>
      </c>
      <c r="U343" s="63">
        <f t="shared" si="42"/>
        <v>0</v>
      </c>
      <c r="V343" s="145">
        <f t="shared" si="43"/>
        <v>0</v>
      </c>
      <c r="W343" s="198"/>
      <c r="X343" s="1379"/>
      <c r="Y343" s="1380"/>
      <c r="Z343" s="62">
        <f t="shared" si="44"/>
        <v>0</v>
      </c>
      <c r="AA343" s="146">
        <f t="shared" si="45"/>
        <v>0</v>
      </c>
      <c r="AB343" s="198"/>
      <c r="AC343" s="1379"/>
      <c r="AD343" s="1380"/>
      <c r="AE343" s="62">
        <f t="shared" si="46"/>
        <v>0</v>
      </c>
      <c r="AF343" s="148">
        <f t="shared" si="47"/>
        <v>0</v>
      </c>
      <c r="AG343" s="198"/>
      <c r="AH343" s="1379"/>
      <c r="AI343" s="1380"/>
      <c r="AJ343"/>
      <c r="AK343"/>
      <c r="AL343"/>
      <c r="AM343"/>
      <c r="AN343"/>
    </row>
    <row r="344" spans="1:40" s="66" customFormat="1" ht="14.5">
      <c r="A344" s="186"/>
      <c r="B344" s="187"/>
      <c r="C344" s="188"/>
      <c r="D344" s="188"/>
      <c r="E344" s="189"/>
      <c r="F344" s="190"/>
      <c r="G344" s="190"/>
      <c r="H344" s="189"/>
      <c r="I344" s="189"/>
      <c r="J344" s="191"/>
      <c r="K344" s="191"/>
      <c r="L344" s="61">
        <f t="shared" si="40"/>
        <v>0</v>
      </c>
      <c r="M344" s="192"/>
      <c r="N344" s="193"/>
      <c r="O344" s="192"/>
      <c r="P344" s="194"/>
      <c r="Q344" s="195"/>
      <c r="R344" s="196"/>
      <c r="S344" s="197"/>
      <c r="T344" s="62">
        <f t="shared" si="41"/>
        <v>0</v>
      </c>
      <c r="U344" s="63">
        <f t="shared" si="42"/>
        <v>0</v>
      </c>
      <c r="V344" s="145">
        <f t="shared" si="43"/>
        <v>0</v>
      </c>
      <c r="W344" s="198"/>
      <c r="X344" s="1379"/>
      <c r="Y344" s="1380"/>
      <c r="Z344" s="62">
        <f t="shared" si="44"/>
        <v>0</v>
      </c>
      <c r="AA344" s="146">
        <f t="shared" si="45"/>
        <v>0</v>
      </c>
      <c r="AB344" s="198"/>
      <c r="AC344" s="1379"/>
      <c r="AD344" s="1380"/>
      <c r="AE344" s="62">
        <f t="shared" si="46"/>
        <v>0</v>
      </c>
      <c r="AF344" s="148">
        <f t="shared" si="47"/>
        <v>0</v>
      </c>
      <c r="AG344" s="198"/>
      <c r="AH344" s="1379"/>
      <c r="AI344" s="1380"/>
      <c r="AJ344"/>
      <c r="AK344"/>
      <c r="AL344"/>
      <c r="AM344"/>
      <c r="AN344"/>
    </row>
    <row r="345" spans="1:40" s="66" customFormat="1" ht="14.5">
      <c r="A345" s="186"/>
      <c r="B345" s="187"/>
      <c r="C345" s="188"/>
      <c r="D345" s="188"/>
      <c r="E345" s="189"/>
      <c r="F345" s="190"/>
      <c r="G345" s="190"/>
      <c r="H345" s="189"/>
      <c r="I345" s="189"/>
      <c r="J345" s="191"/>
      <c r="K345" s="191"/>
      <c r="L345" s="61">
        <f t="shared" si="40"/>
        <v>0</v>
      </c>
      <c r="M345" s="192"/>
      <c r="N345" s="193"/>
      <c r="O345" s="192"/>
      <c r="P345" s="194"/>
      <c r="Q345" s="195"/>
      <c r="R345" s="196"/>
      <c r="S345" s="197"/>
      <c r="T345" s="62">
        <f t="shared" si="41"/>
        <v>0</v>
      </c>
      <c r="U345" s="63">
        <f t="shared" si="42"/>
        <v>0</v>
      </c>
      <c r="V345" s="145">
        <f t="shared" si="43"/>
        <v>0</v>
      </c>
      <c r="W345" s="198"/>
      <c r="X345" s="1379"/>
      <c r="Y345" s="1380"/>
      <c r="Z345" s="62">
        <f t="shared" si="44"/>
        <v>0</v>
      </c>
      <c r="AA345" s="146">
        <f t="shared" si="45"/>
        <v>0</v>
      </c>
      <c r="AB345" s="198"/>
      <c r="AC345" s="1379"/>
      <c r="AD345" s="1380"/>
      <c r="AE345" s="62">
        <f t="shared" si="46"/>
        <v>0</v>
      </c>
      <c r="AF345" s="148">
        <f t="shared" si="47"/>
        <v>0</v>
      </c>
      <c r="AG345" s="198"/>
      <c r="AH345" s="1379"/>
      <c r="AI345" s="1380"/>
      <c r="AJ345"/>
      <c r="AK345"/>
      <c r="AL345"/>
      <c r="AM345"/>
      <c r="AN345"/>
    </row>
    <row r="346" spans="1:40" s="66" customFormat="1" ht="14.5">
      <c r="A346" s="186"/>
      <c r="B346" s="187"/>
      <c r="C346" s="188"/>
      <c r="D346" s="188"/>
      <c r="E346" s="189"/>
      <c r="F346" s="190"/>
      <c r="G346" s="190"/>
      <c r="H346" s="189"/>
      <c r="I346" s="189"/>
      <c r="J346" s="191"/>
      <c r="K346" s="191"/>
      <c r="L346" s="61">
        <f t="shared" si="40"/>
        <v>0</v>
      </c>
      <c r="M346" s="192"/>
      <c r="N346" s="193"/>
      <c r="O346" s="192"/>
      <c r="P346" s="194"/>
      <c r="Q346" s="195"/>
      <c r="R346" s="196"/>
      <c r="S346" s="197"/>
      <c r="T346" s="62">
        <f t="shared" si="41"/>
        <v>0</v>
      </c>
      <c r="U346" s="63">
        <f t="shared" si="42"/>
        <v>0</v>
      </c>
      <c r="V346" s="145">
        <f t="shared" si="43"/>
        <v>0</v>
      </c>
      <c r="W346" s="198"/>
      <c r="X346" s="1379"/>
      <c r="Y346" s="1380"/>
      <c r="Z346" s="62">
        <f t="shared" si="44"/>
        <v>0</v>
      </c>
      <c r="AA346" s="146">
        <f t="shared" si="45"/>
        <v>0</v>
      </c>
      <c r="AB346" s="198"/>
      <c r="AC346" s="1379"/>
      <c r="AD346" s="1380"/>
      <c r="AE346" s="62">
        <f t="shared" si="46"/>
        <v>0</v>
      </c>
      <c r="AF346" s="148">
        <f t="shared" si="47"/>
        <v>0</v>
      </c>
      <c r="AG346" s="198"/>
      <c r="AH346" s="1379"/>
      <c r="AI346" s="1380"/>
      <c r="AJ346"/>
      <c r="AK346"/>
      <c r="AL346"/>
      <c r="AM346"/>
      <c r="AN346"/>
    </row>
    <row r="347" spans="1:40" s="66" customFormat="1" ht="14.5">
      <c r="A347" s="186"/>
      <c r="B347" s="187"/>
      <c r="C347" s="188"/>
      <c r="D347" s="188"/>
      <c r="E347" s="189"/>
      <c r="F347" s="190"/>
      <c r="G347" s="190"/>
      <c r="H347" s="189"/>
      <c r="I347" s="189"/>
      <c r="J347" s="191"/>
      <c r="K347" s="191"/>
      <c r="L347" s="61">
        <f t="shared" si="40"/>
        <v>0</v>
      </c>
      <c r="M347" s="192"/>
      <c r="N347" s="193"/>
      <c r="O347" s="192"/>
      <c r="P347" s="194"/>
      <c r="Q347" s="195"/>
      <c r="R347" s="196"/>
      <c r="S347" s="197"/>
      <c r="T347" s="62">
        <f t="shared" si="41"/>
        <v>0</v>
      </c>
      <c r="U347" s="63">
        <f t="shared" si="42"/>
        <v>0</v>
      </c>
      <c r="V347" s="145">
        <f t="shared" si="43"/>
        <v>0</v>
      </c>
      <c r="W347" s="198"/>
      <c r="X347" s="1379"/>
      <c r="Y347" s="1380"/>
      <c r="Z347" s="62">
        <f t="shared" si="44"/>
        <v>0</v>
      </c>
      <c r="AA347" s="146">
        <f t="shared" si="45"/>
        <v>0</v>
      </c>
      <c r="AB347" s="198"/>
      <c r="AC347" s="1379"/>
      <c r="AD347" s="1380"/>
      <c r="AE347" s="62">
        <f t="shared" si="46"/>
        <v>0</v>
      </c>
      <c r="AF347" s="148">
        <f t="shared" si="47"/>
        <v>0</v>
      </c>
      <c r="AG347" s="198"/>
      <c r="AH347" s="1379"/>
      <c r="AI347" s="1380"/>
      <c r="AJ347"/>
      <c r="AK347"/>
      <c r="AL347"/>
      <c r="AM347"/>
      <c r="AN347"/>
    </row>
    <row r="348" spans="1:40" s="66" customFormat="1" ht="14.5">
      <c r="A348" s="186"/>
      <c r="B348" s="187"/>
      <c r="C348" s="188"/>
      <c r="D348" s="188"/>
      <c r="E348" s="189"/>
      <c r="F348" s="190"/>
      <c r="G348" s="190"/>
      <c r="H348" s="189"/>
      <c r="I348" s="189"/>
      <c r="J348" s="191"/>
      <c r="K348" s="191"/>
      <c r="L348" s="61">
        <f t="shared" si="40"/>
        <v>0</v>
      </c>
      <c r="M348" s="192"/>
      <c r="N348" s="193"/>
      <c r="O348" s="192"/>
      <c r="P348" s="194"/>
      <c r="Q348" s="195"/>
      <c r="R348" s="196"/>
      <c r="S348" s="197"/>
      <c r="T348" s="62">
        <f t="shared" si="41"/>
        <v>0</v>
      </c>
      <c r="U348" s="63">
        <f t="shared" si="42"/>
        <v>0</v>
      </c>
      <c r="V348" s="145">
        <f t="shared" si="43"/>
        <v>0</v>
      </c>
      <c r="W348" s="198"/>
      <c r="X348" s="1379"/>
      <c r="Y348" s="1380"/>
      <c r="Z348" s="62">
        <f t="shared" si="44"/>
        <v>0</v>
      </c>
      <c r="AA348" s="146">
        <f t="shared" si="45"/>
        <v>0</v>
      </c>
      <c r="AB348" s="198"/>
      <c r="AC348" s="1379"/>
      <c r="AD348" s="1380"/>
      <c r="AE348" s="62">
        <f t="shared" si="46"/>
        <v>0</v>
      </c>
      <c r="AF348" s="148">
        <f t="shared" si="47"/>
        <v>0</v>
      </c>
      <c r="AG348" s="198"/>
      <c r="AH348" s="1379"/>
      <c r="AI348" s="1380"/>
      <c r="AJ348"/>
      <c r="AK348"/>
      <c r="AL348"/>
      <c r="AM348"/>
      <c r="AN348"/>
    </row>
    <row r="349" spans="1:40" s="66" customFormat="1" ht="14.5">
      <c r="A349" s="186"/>
      <c r="B349" s="187"/>
      <c r="C349" s="188"/>
      <c r="D349" s="188"/>
      <c r="E349" s="189"/>
      <c r="F349" s="190"/>
      <c r="G349" s="190"/>
      <c r="H349" s="189"/>
      <c r="I349" s="189"/>
      <c r="J349" s="191"/>
      <c r="K349" s="191"/>
      <c r="L349" s="61">
        <f t="shared" si="40"/>
        <v>0</v>
      </c>
      <c r="M349" s="192"/>
      <c r="N349" s="193"/>
      <c r="O349" s="192"/>
      <c r="P349" s="194"/>
      <c r="Q349" s="195"/>
      <c r="R349" s="196"/>
      <c r="S349" s="197"/>
      <c r="T349" s="62">
        <f t="shared" si="41"/>
        <v>0</v>
      </c>
      <c r="U349" s="63">
        <f t="shared" si="42"/>
        <v>0</v>
      </c>
      <c r="V349" s="145">
        <f t="shared" si="43"/>
        <v>0</v>
      </c>
      <c r="W349" s="198"/>
      <c r="X349" s="1379"/>
      <c r="Y349" s="1380"/>
      <c r="Z349" s="62">
        <f t="shared" si="44"/>
        <v>0</v>
      </c>
      <c r="AA349" s="146">
        <f t="shared" si="45"/>
        <v>0</v>
      </c>
      <c r="AB349" s="198"/>
      <c r="AC349" s="1379"/>
      <c r="AD349" s="1380"/>
      <c r="AE349" s="62">
        <f t="shared" si="46"/>
        <v>0</v>
      </c>
      <c r="AF349" s="148">
        <f t="shared" si="47"/>
        <v>0</v>
      </c>
      <c r="AG349" s="198"/>
      <c r="AH349" s="1379"/>
      <c r="AI349" s="1380"/>
      <c r="AJ349"/>
      <c r="AK349"/>
      <c r="AL349"/>
      <c r="AM349"/>
      <c r="AN349"/>
    </row>
    <row r="350" spans="1:40" s="66" customFormat="1" ht="14.5">
      <c r="A350" s="186"/>
      <c r="B350" s="187"/>
      <c r="C350" s="188"/>
      <c r="D350" s="188"/>
      <c r="E350" s="189"/>
      <c r="F350" s="190"/>
      <c r="G350" s="190"/>
      <c r="H350" s="189"/>
      <c r="I350" s="189"/>
      <c r="J350" s="191"/>
      <c r="K350" s="191"/>
      <c r="L350" s="61">
        <f t="shared" si="40"/>
        <v>0</v>
      </c>
      <c r="M350" s="192"/>
      <c r="N350" s="193"/>
      <c r="O350" s="192"/>
      <c r="P350" s="194"/>
      <c r="Q350" s="195"/>
      <c r="R350" s="196"/>
      <c r="S350" s="197"/>
      <c r="T350" s="62">
        <f t="shared" si="41"/>
        <v>0</v>
      </c>
      <c r="U350" s="63">
        <f t="shared" si="42"/>
        <v>0</v>
      </c>
      <c r="V350" s="145">
        <f t="shared" si="43"/>
        <v>0</v>
      </c>
      <c r="W350" s="198"/>
      <c r="X350" s="1379"/>
      <c r="Y350" s="1380"/>
      <c r="Z350" s="62">
        <f t="shared" si="44"/>
        <v>0</v>
      </c>
      <c r="AA350" s="146">
        <f t="shared" si="45"/>
        <v>0</v>
      </c>
      <c r="AB350" s="198"/>
      <c r="AC350" s="1379"/>
      <c r="AD350" s="1380"/>
      <c r="AE350" s="62">
        <f t="shared" si="46"/>
        <v>0</v>
      </c>
      <c r="AF350" s="148">
        <f t="shared" si="47"/>
        <v>0</v>
      </c>
      <c r="AG350" s="198"/>
      <c r="AH350" s="1379"/>
      <c r="AI350" s="1380"/>
      <c r="AJ350"/>
      <c r="AK350"/>
      <c r="AL350"/>
      <c r="AM350"/>
      <c r="AN350"/>
    </row>
    <row r="351" spans="1:40" s="66" customFormat="1" ht="14.5">
      <c r="A351" s="186"/>
      <c r="B351" s="187"/>
      <c r="C351" s="188"/>
      <c r="D351" s="188"/>
      <c r="E351" s="189"/>
      <c r="F351" s="190"/>
      <c r="G351" s="190"/>
      <c r="H351" s="189"/>
      <c r="I351" s="189"/>
      <c r="J351" s="191"/>
      <c r="K351" s="191"/>
      <c r="L351" s="61">
        <f t="shared" si="40"/>
        <v>0</v>
      </c>
      <c r="M351" s="192"/>
      <c r="N351" s="193"/>
      <c r="O351" s="192"/>
      <c r="P351" s="194"/>
      <c r="Q351" s="195"/>
      <c r="R351" s="196"/>
      <c r="S351" s="197"/>
      <c r="T351" s="62">
        <f t="shared" si="41"/>
        <v>0</v>
      </c>
      <c r="U351" s="63">
        <f t="shared" si="42"/>
        <v>0</v>
      </c>
      <c r="V351" s="145">
        <f t="shared" si="43"/>
        <v>0</v>
      </c>
      <c r="W351" s="198"/>
      <c r="X351" s="1379"/>
      <c r="Y351" s="1380"/>
      <c r="Z351" s="62">
        <f t="shared" si="44"/>
        <v>0</v>
      </c>
      <c r="AA351" s="146">
        <f t="shared" si="45"/>
        <v>0</v>
      </c>
      <c r="AB351" s="198"/>
      <c r="AC351" s="1379"/>
      <c r="AD351" s="1380"/>
      <c r="AE351" s="62">
        <f t="shared" si="46"/>
        <v>0</v>
      </c>
      <c r="AF351" s="148">
        <f t="shared" si="47"/>
        <v>0</v>
      </c>
      <c r="AG351" s="198"/>
      <c r="AH351" s="1379"/>
      <c r="AI351" s="1380"/>
      <c r="AJ351"/>
      <c r="AK351"/>
      <c r="AL351"/>
      <c r="AM351"/>
      <c r="AN351"/>
    </row>
    <row r="352" spans="1:40" s="66" customFormat="1" ht="14.5">
      <c r="A352" s="186"/>
      <c r="B352" s="187"/>
      <c r="C352" s="188"/>
      <c r="D352" s="188"/>
      <c r="E352" s="189"/>
      <c r="F352" s="190"/>
      <c r="G352" s="190"/>
      <c r="H352" s="189"/>
      <c r="I352" s="189"/>
      <c r="J352" s="191"/>
      <c r="K352" s="191"/>
      <c r="L352" s="61">
        <f t="shared" si="40"/>
        <v>0</v>
      </c>
      <c r="M352" s="192"/>
      <c r="N352" s="193"/>
      <c r="O352" s="192"/>
      <c r="P352" s="194"/>
      <c r="Q352" s="195"/>
      <c r="R352" s="196"/>
      <c r="S352" s="197"/>
      <c r="T352" s="62">
        <f t="shared" si="41"/>
        <v>0</v>
      </c>
      <c r="U352" s="63">
        <f t="shared" si="42"/>
        <v>0</v>
      </c>
      <c r="V352" s="145">
        <f t="shared" si="43"/>
        <v>0</v>
      </c>
      <c r="W352" s="198"/>
      <c r="X352" s="1379"/>
      <c r="Y352" s="1380"/>
      <c r="Z352" s="62">
        <f t="shared" si="44"/>
        <v>0</v>
      </c>
      <c r="AA352" s="146">
        <f t="shared" si="45"/>
        <v>0</v>
      </c>
      <c r="AB352" s="198"/>
      <c r="AC352" s="1379"/>
      <c r="AD352" s="1380"/>
      <c r="AE352" s="62">
        <f t="shared" si="46"/>
        <v>0</v>
      </c>
      <c r="AF352" s="148">
        <f t="shared" si="47"/>
        <v>0</v>
      </c>
      <c r="AG352" s="198"/>
      <c r="AH352" s="1379"/>
      <c r="AI352" s="1380"/>
      <c r="AJ352"/>
      <c r="AK352"/>
      <c r="AL352"/>
      <c r="AM352"/>
      <c r="AN352"/>
    </row>
    <row r="353" spans="1:40" s="66" customFormat="1" ht="14.5">
      <c r="A353" s="186"/>
      <c r="B353" s="187"/>
      <c r="C353" s="188"/>
      <c r="D353" s="188"/>
      <c r="E353" s="189"/>
      <c r="F353" s="190"/>
      <c r="G353" s="190"/>
      <c r="H353" s="189"/>
      <c r="I353" s="189"/>
      <c r="J353" s="191"/>
      <c r="K353" s="191"/>
      <c r="L353" s="61">
        <f t="shared" si="40"/>
        <v>0</v>
      </c>
      <c r="M353" s="192"/>
      <c r="N353" s="193"/>
      <c r="O353" s="192"/>
      <c r="P353" s="194"/>
      <c r="Q353" s="195"/>
      <c r="R353" s="196"/>
      <c r="S353" s="197"/>
      <c r="T353" s="62">
        <f t="shared" si="41"/>
        <v>0</v>
      </c>
      <c r="U353" s="63">
        <f t="shared" si="42"/>
        <v>0</v>
      </c>
      <c r="V353" s="145">
        <f t="shared" si="43"/>
        <v>0</v>
      </c>
      <c r="W353" s="198"/>
      <c r="X353" s="1379"/>
      <c r="Y353" s="1380"/>
      <c r="Z353" s="62">
        <f t="shared" si="44"/>
        <v>0</v>
      </c>
      <c r="AA353" s="146">
        <f t="shared" si="45"/>
        <v>0</v>
      </c>
      <c r="AB353" s="198"/>
      <c r="AC353" s="1379"/>
      <c r="AD353" s="1380"/>
      <c r="AE353" s="62">
        <f t="shared" si="46"/>
        <v>0</v>
      </c>
      <c r="AF353" s="148">
        <f t="shared" si="47"/>
        <v>0</v>
      </c>
      <c r="AG353" s="198"/>
      <c r="AH353" s="1379"/>
      <c r="AI353" s="1380"/>
      <c r="AJ353"/>
      <c r="AK353"/>
      <c r="AL353"/>
      <c r="AM353"/>
      <c r="AN353"/>
    </row>
    <row r="354" spans="1:40" s="66" customFormat="1" ht="14.5">
      <c r="A354" s="186"/>
      <c r="B354" s="187"/>
      <c r="C354" s="188"/>
      <c r="D354" s="188"/>
      <c r="E354" s="189"/>
      <c r="F354" s="190"/>
      <c r="G354" s="190"/>
      <c r="H354" s="189"/>
      <c r="I354" s="189"/>
      <c r="J354" s="191"/>
      <c r="K354" s="191"/>
      <c r="L354" s="61">
        <f t="shared" si="40"/>
        <v>0</v>
      </c>
      <c r="M354" s="192"/>
      <c r="N354" s="193"/>
      <c r="O354" s="192"/>
      <c r="P354" s="194"/>
      <c r="Q354" s="195"/>
      <c r="R354" s="196"/>
      <c r="S354" s="197"/>
      <c r="T354" s="62">
        <f t="shared" si="41"/>
        <v>0</v>
      </c>
      <c r="U354" s="63">
        <f t="shared" si="42"/>
        <v>0</v>
      </c>
      <c r="V354" s="145">
        <f t="shared" si="43"/>
        <v>0</v>
      </c>
      <c r="W354" s="198"/>
      <c r="X354" s="1379"/>
      <c r="Y354" s="1380"/>
      <c r="Z354" s="62">
        <f t="shared" si="44"/>
        <v>0</v>
      </c>
      <c r="AA354" s="146">
        <f t="shared" si="45"/>
        <v>0</v>
      </c>
      <c r="AB354" s="198"/>
      <c r="AC354" s="1379"/>
      <c r="AD354" s="1380"/>
      <c r="AE354" s="62">
        <f t="shared" si="46"/>
        <v>0</v>
      </c>
      <c r="AF354" s="148">
        <f t="shared" si="47"/>
        <v>0</v>
      </c>
      <c r="AG354" s="198"/>
      <c r="AH354" s="1379"/>
      <c r="AI354" s="1380"/>
      <c r="AJ354"/>
      <c r="AK354"/>
      <c r="AL354"/>
      <c r="AM354"/>
      <c r="AN354"/>
    </row>
    <row r="355" spans="1:40" s="66" customFormat="1" ht="14.5">
      <c r="A355" s="186"/>
      <c r="B355" s="187"/>
      <c r="C355" s="188"/>
      <c r="D355" s="188"/>
      <c r="E355" s="189"/>
      <c r="F355" s="190"/>
      <c r="G355" s="190"/>
      <c r="H355" s="189"/>
      <c r="I355" s="189"/>
      <c r="J355" s="191"/>
      <c r="K355" s="191"/>
      <c r="L355" s="61">
        <f t="shared" si="40"/>
        <v>0</v>
      </c>
      <c r="M355" s="192"/>
      <c r="N355" s="193"/>
      <c r="O355" s="192"/>
      <c r="P355" s="194"/>
      <c r="Q355" s="195"/>
      <c r="R355" s="196"/>
      <c r="S355" s="197"/>
      <c r="T355" s="62">
        <f t="shared" si="41"/>
        <v>0</v>
      </c>
      <c r="U355" s="63">
        <f t="shared" si="42"/>
        <v>0</v>
      </c>
      <c r="V355" s="145">
        <f t="shared" si="43"/>
        <v>0</v>
      </c>
      <c r="W355" s="198"/>
      <c r="X355" s="1379"/>
      <c r="Y355" s="1380"/>
      <c r="Z355" s="62">
        <f t="shared" si="44"/>
        <v>0</v>
      </c>
      <c r="AA355" s="146">
        <f t="shared" si="45"/>
        <v>0</v>
      </c>
      <c r="AB355" s="198"/>
      <c r="AC355" s="1379"/>
      <c r="AD355" s="1380"/>
      <c r="AE355" s="62">
        <f t="shared" si="46"/>
        <v>0</v>
      </c>
      <c r="AF355" s="148">
        <f t="shared" si="47"/>
        <v>0</v>
      </c>
      <c r="AG355" s="198"/>
      <c r="AH355" s="1379"/>
      <c r="AI355" s="1380"/>
      <c r="AJ355"/>
      <c r="AK355"/>
      <c r="AL355"/>
      <c r="AM355"/>
      <c r="AN355"/>
    </row>
    <row r="356" spans="1:40" s="66" customFormat="1" ht="14.5">
      <c r="A356" s="186"/>
      <c r="B356" s="187"/>
      <c r="C356" s="188"/>
      <c r="D356" s="188"/>
      <c r="E356" s="189"/>
      <c r="F356" s="190"/>
      <c r="G356" s="190"/>
      <c r="H356" s="189"/>
      <c r="I356" s="189"/>
      <c r="J356" s="191"/>
      <c r="K356" s="191"/>
      <c r="L356" s="61">
        <f t="shared" si="40"/>
        <v>0</v>
      </c>
      <c r="M356" s="192"/>
      <c r="N356" s="193"/>
      <c r="O356" s="192"/>
      <c r="P356" s="194"/>
      <c r="Q356" s="195"/>
      <c r="R356" s="196"/>
      <c r="S356" s="197"/>
      <c r="T356" s="62">
        <f t="shared" si="41"/>
        <v>0</v>
      </c>
      <c r="U356" s="63">
        <f t="shared" si="42"/>
        <v>0</v>
      </c>
      <c r="V356" s="145">
        <f t="shared" si="43"/>
        <v>0</v>
      </c>
      <c r="W356" s="198"/>
      <c r="X356" s="1379"/>
      <c r="Y356" s="1380"/>
      <c r="Z356" s="62">
        <f t="shared" si="44"/>
        <v>0</v>
      </c>
      <c r="AA356" s="146">
        <f t="shared" si="45"/>
        <v>0</v>
      </c>
      <c r="AB356" s="198"/>
      <c r="AC356" s="1379"/>
      <c r="AD356" s="1380"/>
      <c r="AE356" s="62">
        <f t="shared" si="46"/>
        <v>0</v>
      </c>
      <c r="AF356" s="148">
        <f t="shared" si="47"/>
        <v>0</v>
      </c>
      <c r="AG356" s="198"/>
      <c r="AH356" s="1379"/>
      <c r="AI356" s="1380"/>
      <c r="AJ356"/>
      <c r="AK356"/>
      <c r="AL356"/>
      <c r="AM356"/>
      <c r="AN356"/>
    </row>
    <row r="357" spans="1:40" s="66" customFormat="1" ht="14.5">
      <c r="A357" s="186"/>
      <c r="B357" s="187"/>
      <c r="C357" s="188"/>
      <c r="D357" s="188"/>
      <c r="E357" s="189"/>
      <c r="F357" s="190"/>
      <c r="G357" s="190"/>
      <c r="H357" s="189"/>
      <c r="I357" s="189"/>
      <c r="J357" s="191"/>
      <c r="K357" s="191"/>
      <c r="L357" s="61">
        <f t="shared" si="40"/>
        <v>0</v>
      </c>
      <c r="M357" s="192"/>
      <c r="N357" s="193"/>
      <c r="O357" s="192"/>
      <c r="P357" s="194"/>
      <c r="Q357" s="195"/>
      <c r="R357" s="196"/>
      <c r="S357" s="197"/>
      <c r="T357" s="62">
        <f t="shared" si="41"/>
        <v>0</v>
      </c>
      <c r="U357" s="63">
        <f t="shared" si="42"/>
        <v>0</v>
      </c>
      <c r="V357" s="145">
        <f t="shared" si="43"/>
        <v>0</v>
      </c>
      <c r="W357" s="198"/>
      <c r="X357" s="1379"/>
      <c r="Y357" s="1380"/>
      <c r="Z357" s="62">
        <f t="shared" si="44"/>
        <v>0</v>
      </c>
      <c r="AA357" s="146">
        <f t="shared" si="45"/>
        <v>0</v>
      </c>
      <c r="AB357" s="198"/>
      <c r="AC357" s="1379"/>
      <c r="AD357" s="1380"/>
      <c r="AE357" s="62">
        <f t="shared" si="46"/>
        <v>0</v>
      </c>
      <c r="AF357" s="148">
        <f t="shared" si="47"/>
        <v>0</v>
      </c>
      <c r="AG357" s="198"/>
      <c r="AH357" s="1379"/>
      <c r="AI357" s="1380"/>
      <c r="AJ357"/>
      <c r="AK357"/>
      <c r="AL357"/>
      <c r="AM357"/>
      <c r="AN357"/>
    </row>
    <row r="358" spans="1:40" s="66" customFormat="1" ht="14.5">
      <c r="A358" s="186"/>
      <c r="B358" s="187"/>
      <c r="C358" s="188"/>
      <c r="D358" s="188"/>
      <c r="E358" s="189"/>
      <c r="F358" s="190"/>
      <c r="G358" s="190"/>
      <c r="H358" s="189"/>
      <c r="I358" s="189"/>
      <c r="J358" s="191"/>
      <c r="K358" s="191"/>
      <c r="L358" s="61">
        <f t="shared" si="40"/>
        <v>0</v>
      </c>
      <c r="M358" s="192"/>
      <c r="N358" s="193"/>
      <c r="O358" s="192"/>
      <c r="P358" s="194"/>
      <c r="Q358" s="195"/>
      <c r="R358" s="196"/>
      <c r="S358" s="197"/>
      <c r="T358" s="62">
        <f t="shared" si="41"/>
        <v>0</v>
      </c>
      <c r="U358" s="63">
        <f t="shared" si="42"/>
        <v>0</v>
      </c>
      <c r="V358" s="145">
        <f t="shared" si="43"/>
        <v>0</v>
      </c>
      <c r="W358" s="198"/>
      <c r="X358" s="1379"/>
      <c r="Y358" s="1380"/>
      <c r="Z358" s="62">
        <f t="shared" si="44"/>
        <v>0</v>
      </c>
      <c r="AA358" s="146">
        <f t="shared" si="45"/>
        <v>0</v>
      </c>
      <c r="AB358" s="198"/>
      <c r="AC358" s="1379"/>
      <c r="AD358" s="1380"/>
      <c r="AE358" s="62">
        <f t="shared" si="46"/>
        <v>0</v>
      </c>
      <c r="AF358" s="148">
        <f t="shared" si="47"/>
        <v>0</v>
      </c>
      <c r="AG358" s="198"/>
      <c r="AH358" s="1379"/>
      <c r="AI358" s="1380"/>
      <c r="AJ358"/>
      <c r="AK358"/>
      <c r="AL358"/>
      <c r="AM358"/>
      <c r="AN358"/>
    </row>
    <row r="359" spans="1:40" s="66" customFormat="1" ht="14.5">
      <c r="A359" s="186"/>
      <c r="B359" s="187"/>
      <c r="C359" s="188"/>
      <c r="D359" s="188"/>
      <c r="E359" s="189"/>
      <c r="F359" s="190"/>
      <c r="G359" s="190"/>
      <c r="H359" s="189"/>
      <c r="I359" s="189"/>
      <c r="J359" s="191"/>
      <c r="K359" s="191"/>
      <c r="L359" s="61">
        <f t="shared" si="40"/>
        <v>0</v>
      </c>
      <c r="M359" s="192"/>
      <c r="N359" s="193"/>
      <c r="O359" s="192"/>
      <c r="P359" s="194"/>
      <c r="Q359" s="195"/>
      <c r="R359" s="196"/>
      <c r="S359" s="197"/>
      <c r="T359" s="62">
        <f t="shared" si="41"/>
        <v>0</v>
      </c>
      <c r="U359" s="63">
        <f t="shared" si="42"/>
        <v>0</v>
      </c>
      <c r="V359" s="145">
        <f t="shared" si="43"/>
        <v>0</v>
      </c>
      <c r="W359" s="198"/>
      <c r="X359" s="1379"/>
      <c r="Y359" s="1380"/>
      <c r="Z359" s="62">
        <f t="shared" si="44"/>
        <v>0</v>
      </c>
      <c r="AA359" s="146">
        <f t="shared" si="45"/>
        <v>0</v>
      </c>
      <c r="AB359" s="198"/>
      <c r="AC359" s="1379"/>
      <c r="AD359" s="1380"/>
      <c r="AE359" s="62">
        <f t="shared" si="46"/>
        <v>0</v>
      </c>
      <c r="AF359" s="148">
        <f t="shared" si="47"/>
        <v>0</v>
      </c>
      <c r="AG359" s="198"/>
      <c r="AH359" s="1379"/>
      <c r="AI359" s="1380"/>
      <c r="AJ359"/>
      <c r="AK359"/>
      <c r="AL359"/>
      <c r="AM359"/>
      <c r="AN359"/>
    </row>
    <row r="360" spans="1:40" s="66" customFormat="1" ht="14.5">
      <c r="A360" s="186"/>
      <c r="B360" s="187"/>
      <c r="C360" s="188"/>
      <c r="D360" s="188"/>
      <c r="E360" s="189"/>
      <c r="F360" s="190"/>
      <c r="G360" s="190"/>
      <c r="H360" s="189"/>
      <c r="I360" s="189"/>
      <c r="J360" s="191"/>
      <c r="K360" s="191"/>
      <c r="L360" s="61">
        <f t="shared" si="40"/>
        <v>0</v>
      </c>
      <c r="M360" s="192"/>
      <c r="N360" s="193"/>
      <c r="O360" s="192"/>
      <c r="P360" s="194"/>
      <c r="Q360" s="195"/>
      <c r="R360" s="196"/>
      <c r="S360" s="197"/>
      <c r="T360" s="62">
        <f t="shared" si="41"/>
        <v>0</v>
      </c>
      <c r="U360" s="63">
        <f t="shared" si="42"/>
        <v>0</v>
      </c>
      <c r="V360" s="145">
        <f t="shared" si="43"/>
        <v>0</v>
      </c>
      <c r="W360" s="198"/>
      <c r="X360" s="1379"/>
      <c r="Y360" s="1380"/>
      <c r="Z360" s="62">
        <f t="shared" si="44"/>
        <v>0</v>
      </c>
      <c r="AA360" s="146">
        <f t="shared" si="45"/>
        <v>0</v>
      </c>
      <c r="AB360" s="198"/>
      <c r="AC360" s="1379"/>
      <c r="AD360" s="1380"/>
      <c r="AE360" s="62">
        <f t="shared" si="46"/>
        <v>0</v>
      </c>
      <c r="AF360" s="148">
        <f t="shared" si="47"/>
        <v>0</v>
      </c>
      <c r="AG360" s="198"/>
      <c r="AH360" s="1379"/>
      <c r="AI360" s="1380"/>
      <c r="AJ360"/>
      <c r="AK360"/>
      <c r="AL360"/>
      <c r="AM360"/>
      <c r="AN360"/>
    </row>
    <row r="361" spans="1:40" s="66" customFormat="1" ht="14.5">
      <c r="A361" s="186"/>
      <c r="B361" s="187"/>
      <c r="C361" s="188"/>
      <c r="D361" s="188"/>
      <c r="E361" s="189"/>
      <c r="F361" s="190"/>
      <c r="G361" s="190"/>
      <c r="H361" s="189"/>
      <c r="I361" s="189"/>
      <c r="J361" s="191"/>
      <c r="K361" s="191"/>
      <c r="L361" s="61">
        <f t="shared" si="40"/>
        <v>0</v>
      </c>
      <c r="M361" s="192"/>
      <c r="N361" s="193"/>
      <c r="O361" s="192"/>
      <c r="P361" s="194"/>
      <c r="Q361" s="195"/>
      <c r="R361" s="196"/>
      <c r="S361" s="197"/>
      <c r="T361" s="62">
        <f t="shared" si="41"/>
        <v>0</v>
      </c>
      <c r="U361" s="63">
        <f t="shared" si="42"/>
        <v>0</v>
      </c>
      <c r="V361" s="145">
        <f t="shared" si="43"/>
        <v>0</v>
      </c>
      <c r="W361" s="198"/>
      <c r="X361" s="1379"/>
      <c r="Y361" s="1380"/>
      <c r="Z361" s="62">
        <f t="shared" si="44"/>
        <v>0</v>
      </c>
      <c r="AA361" s="146">
        <f t="shared" si="45"/>
        <v>0</v>
      </c>
      <c r="AB361" s="198"/>
      <c r="AC361" s="1379"/>
      <c r="AD361" s="1380"/>
      <c r="AE361" s="62">
        <f t="shared" si="46"/>
        <v>0</v>
      </c>
      <c r="AF361" s="148">
        <f t="shared" si="47"/>
        <v>0</v>
      </c>
      <c r="AG361" s="198"/>
      <c r="AH361" s="1379"/>
      <c r="AI361" s="1380"/>
      <c r="AJ361"/>
      <c r="AK361"/>
      <c r="AL361"/>
      <c r="AM361"/>
      <c r="AN361"/>
    </row>
    <row r="362" spans="1:40" s="66" customFormat="1" ht="14.5">
      <c r="A362" s="186"/>
      <c r="B362" s="187"/>
      <c r="C362" s="188"/>
      <c r="D362" s="188"/>
      <c r="E362" s="189"/>
      <c r="F362" s="190"/>
      <c r="G362" s="190"/>
      <c r="H362" s="189"/>
      <c r="I362" s="189"/>
      <c r="J362" s="191"/>
      <c r="K362" s="191"/>
      <c r="L362" s="61">
        <f t="shared" si="40"/>
        <v>0</v>
      </c>
      <c r="M362" s="192"/>
      <c r="N362" s="193"/>
      <c r="O362" s="192"/>
      <c r="P362" s="194"/>
      <c r="Q362" s="195"/>
      <c r="R362" s="196"/>
      <c r="S362" s="197"/>
      <c r="T362" s="62">
        <f t="shared" si="41"/>
        <v>0</v>
      </c>
      <c r="U362" s="63">
        <f t="shared" si="42"/>
        <v>0</v>
      </c>
      <c r="V362" s="145">
        <f t="shared" si="43"/>
        <v>0</v>
      </c>
      <c r="W362" s="198"/>
      <c r="X362" s="1379"/>
      <c r="Y362" s="1380"/>
      <c r="Z362" s="62">
        <f t="shared" si="44"/>
        <v>0</v>
      </c>
      <c r="AA362" s="146">
        <f t="shared" si="45"/>
        <v>0</v>
      </c>
      <c r="AB362" s="198"/>
      <c r="AC362" s="1379"/>
      <c r="AD362" s="1380"/>
      <c r="AE362" s="62">
        <f t="shared" si="46"/>
        <v>0</v>
      </c>
      <c r="AF362" s="148">
        <f t="shared" si="47"/>
        <v>0</v>
      </c>
      <c r="AG362" s="198"/>
      <c r="AH362" s="1379"/>
      <c r="AI362" s="1380"/>
      <c r="AJ362"/>
      <c r="AK362"/>
      <c r="AL362"/>
      <c r="AM362"/>
      <c r="AN362"/>
    </row>
    <row r="363" spans="1:40" s="66" customFormat="1" ht="14.5">
      <c r="A363" s="186"/>
      <c r="B363" s="187"/>
      <c r="C363" s="188"/>
      <c r="D363" s="188"/>
      <c r="E363" s="189"/>
      <c r="F363" s="190"/>
      <c r="G363" s="190"/>
      <c r="H363" s="189"/>
      <c r="I363" s="189"/>
      <c r="J363" s="191"/>
      <c r="K363" s="191"/>
      <c r="L363" s="61">
        <f t="shared" si="40"/>
        <v>0</v>
      </c>
      <c r="M363" s="192"/>
      <c r="N363" s="193"/>
      <c r="O363" s="192"/>
      <c r="P363" s="194"/>
      <c r="Q363" s="195"/>
      <c r="R363" s="196"/>
      <c r="S363" s="197"/>
      <c r="T363" s="62">
        <f t="shared" si="41"/>
        <v>0</v>
      </c>
      <c r="U363" s="63">
        <f t="shared" si="42"/>
        <v>0</v>
      </c>
      <c r="V363" s="145">
        <f t="shared" si="43"/>
        <v>0</v>
      </c>
      <c r="W363" s="198"/>
      <c r="X363" s="1379"/>
      <c r="Y363" s="1380"/>
      <c r="Z363" s="62">
        <f t="shared" si="44"/>
        <v>0</v>
      </c>
      <c r="AA363" s="146">
        <f t="shared" si="45"/>
        <v>0</v>
      </c>
      <c r="AB363" s="198"/>
      <c r="AC363" s="1379"/>
      <c r="AD363" s="1380"/>
      <c r="AE363" s="62">
        <f t="shared" si="46"/>
        <v>0</v>
      </c>
      <c r="AF363" s="148">
        <f t="shared" si="47"/>
        <v>0</v>
      </c>
      <c r="AG363" s="198"/>
      <c r="AH363" s="1379"/>
      <c r="AI363" s="1380"/>
      <c r="AJ363"/>
      <c r="AK363"/>
      <c r="AL363"/>
      <c r="AM363"/>
      <c r="AN363"/>
    </row>
    <row r="364" spans="1:40" s="66" customFormat="1" ht="14.5">
      <c r="A364" s="186"/>
      <c r="B364" s="187"/>
      <c r="C364" s="188"/>
      <c r="D364" s="188"/>
      <c r="E364" s="189"/>
      <c r="F364" s="190"/>
      <c r="G364" s="190"/>
      <c r="H364" s="189"/>
      <c r="I364" s="189"/>
      <c r="J364" s="191"/>
      <c r="K364" s="191"/>
      <c r="L364" s="61">
        <f t="shared" si="40"/>
        <v>0</v>
      </c>
      <c r="M364" s="192"/>
      <c r="N364" s="193"/>
      <c r="O364" s="192"/>
      <c r="P364" s="194"/>
      <c r="Q364" s="195"/>
      <c r="R364" s="196"/>
      <c r="S364" s="197"/>
      <c r="T364" s="62">
        <f t="shared" si="41"/>
        <v>0</v>
      </c>
      <c r="U364" s="63">
        <f t="shared" si="42"/>
        <v>0</v>
      </c>
      <c r="V364" s="145">
        <f t="shared" si="43"/>
        <v>0</v>
      </c>
      <c r="W364" s="198"/>
      <c r="X364" s="1379"/>
      <c r="Y364" s="1380"/>
      <c r="Z364" s="62">
        <f t="shared" si="44"/>
        <v>0</v>
      </c>
      <c r="AA364" s="146">
        <f t="shared" si="45"/>
        <v>0</v>
      </c>
      <c r="AB364" s="198"/>
      <c r="AC364" s="1379"/>
      <c r="AD364" s="1380"/>
      <c r="AE364" s="62">
        <f t="shared" si="46"/>
        <v>0</v>
      </c>
      <c r="AF364" s="148">
        <f t="shared" si="47"/>
        <v>0</v>
      </c>
      <c r="AG364" s="198"/>
      <c r="AH364" s="1379"/>
      <c r="AI364" s="1380"/>
      <c r="AJ364"/>
      <c r="AK364"/>
      <c r="AL364"/>
      <c r="AM364"/>
      <c r="AN364"/>
    </row>
    <row r="365" spans="1:40" s="66" customFormat="1" ht="14.5">
      <c r="A365" s="186"/>
      <c r="B365" s="187"/>
      <c r="C365" s="188"/>
      <c r="D365" s="188"/>
      <c r="E365" s="189"/>
      <c r="F365" s="190"/>
      <c r="G365" s="190"/>
      <c r="H365" s="189"/>
      <c r="I365" s="189"/>
      <c r="J365" s="191"/>
      <c r="K365" s="191"/>
      <c r="L365" s="61">
        <f t="shared" si="40"/>
        <v>0</v>
      </c>
      <c r="M365" s="192"/>
      <c r="N365" s="193"/>
      <c r="O365" s="192"/>
      <c r="P365" s="194"/>
      <c r="Q365" s="195"/>
      <c r="R365" s="196"/>
      <c r="S365" s="197"/>
      <c r="T365" s="62">
        <f t="shared" si="41"/>
        <v>0</v>
      </c>
      <c r="U365" s="63">
        <f t="shared" si="42"/>
        <v>0</v>
      </c>
      <c r="V365" s="145">
        <f t="shared" si="43"/>
        <v>0</v>
      </c>
      <c r="W365" s="198"/>
      <c r="X365" s="1379"/>
      <c r="Y365" s="1380"/>
      <c r="Z365" s="62">
        <f t="shared" si="44"/>
        <v>0</v>
      </c>
      <c r="AA365" s="146">
        <f t="shared" si="45"/>
        <v>0</v>
      </c>
      <c r="AB365" s="198"/>
      <c r="AC365" s="1379"/>
      <c r="AD365" s="1380"/>
      <c r="AE365" s="62">
        <f t="shared" si="46"/>
        <v>0</v>
      </c>
      <c r="AF365" s="148">
        <f t="shared" si="47"/>
        <v>0</v>
      </c>
      <c r="AG365" s="198"/>
      <c r="AH365" s="1379"/>
      <c r="AI365" s="1380"/>
      <c r="AJ365"/>
      <c r="AK365"/>
      <c r="AL365"/>
      <c r="AM365"/>
      <c r="AN365"/>
    </row>
    <row r="366" spans="1:40" s="66" customFormat="1" ht="14.5">
      <c r="A366" s="186"/>
      <c r="B366" s="187"/>
      <c r="C366" s="188"/>
      <c r="D366" s="188"/>
      <c r="E366" s="189"/>
      <c r="F366" s="190"/>
      <c r="G366" s="190"/>
      <c r="H366" s="189"/>
      <c r="I366" s="189"/>
      <c r="J366" s="191"/>
      <c r="K366" s="191"/>
      <c r="L366" s="61">
        <f t="shared" si="40"/>
        <v>0</v>
      </c>
      <c r="M366" s="192"/>
      <c r="N366" s="193"/>
      <c r="O366" s="192"/>
      <c r="P366" s="194"/>
      <c r="Q366" s="195"/>
      <c r="R366" s="196"/>
      <c r="S366" s="197"/>
      <c r="T366" s="62">
        <f t="shared" si="41"/>
        <v>0</v>
      </c>
      <c r="U366" s="63">
        <f t="shared" si="42"/>
        <v>0</v>
      </c>
      <c r="V366" s="145">
        <f t="shared" si="43"/>
        <v>0</v>
      </c>
      <c r="W366" s="198"/>
      <c r="X366" s="1379"/>
      <c r="Y366" s="1380"/>
      <c r="Z366" s="62">
        <f t="shared" si="44"/>
        <v>0</v>
      </c>
      <c r="AA366" s="146">
        <f t="shared" si="45"/>
        <v>0</v>
      </c>
      <c r="AB366" s="198"/>
      <c r="AC366" s="1379"/>
      <c r="AD366" s="1380"/>
      <c r="AE366" s="62">
        <f t="shared" si="46"/>
        <v>0</v>
      </c>
      <c r="AF366" s="148">
        <f t="shared" si="47"/>
        <v>0</v>
      </c>
      <c r="AG366" s="198"/>
      <c r="AH366" s="1379"/>
      <c r="AI366" s="1380"/>
      <c r="AJ366"/>
      <c r="AK366"/>
      <c r="AL366"/>
      <c r="AM366"/>
      <c r="AN366"/>
    </row>
    <row r="367" spans="1:40" s="66" customFormat="1" ht="14.5">
      <c r="A367" s="186"/>
      <c r="B367" s="187"/>
      <c r="C367" s="188"/>
      <c r="D367" s="188"/>
      <c r="E367" s="189"/>
      <c r="F367" s="190"/>
      <c r="G367" s="190"/>
      <c r="H367" s="189"/>
      <c r="I367" s="189"/>
      <c r="J367" s="191"/>
      <c r="K367" s="191"/>
      <c r="L367" s="61">
        <f t="shared" si="40"/>
        <v>0</v>
      </c>
      <c r="M367" s="192"/>
      <c r="N367" s="193"/>
      <c r="O367" s="192"/>
      <c r="P367" s="194"/>
      <c r="Q367" s="195"/>
      <c r="R367" s="196"/>
      <c r="S367" s="197"/>
      <c r="T367" s="62">
        <f t="shared" si="41"/>
        <v>0</v>
      </c>
      <c r="U367" s="63">
        <f t="shared" si="42"/>
        <v>0</v>
      </c>
      <c r="V367" s="145">
        <f t="shared" si="43"/>
        <v>0</v>
      </c>
      <c r="W367" s="198"/>
      <c r="X367" s="1379"/>
      <c r="Y367" s="1380"/>
      <c r="Z367" s="62">
        <f t="shared" si="44"/>
        <v>0</v>
      </c>
      <c r="AA367" s="146">
        <f t="shared" si="45"/>
        <v>0</v>
      </c>
      <c r="AB367" s="198"/>
      <c r="AC367" s="1379"/>
      <c r="AD367" s="1380"/>
      <c r="AE367" s="62">
        <f t="shared" si="46"/>
        <v>0</v>
      </c>
      <c r="AF367" s="148">
        <f t="shared" si="47"/>
        <v>0</v>
      </c>
      <c r="AG367" s="198"/>
      <c r="AH367" s="1379"/>
      <c r="AI367" s="1380"/>
      <c r="AJ367"/>
      <c r="AK367"/>
      <c r="AL367"/>
      <c r="AM367"/>
      <c r="AN367"/>
    </row>
    <row r="368" spans="1:40" s="66" customFormat="1" ht="14.5">
      <c r="A368" s="186"/>
      <c r="B368" s="187"/>
      <c r="C368" s="188"/>
      <c r="D368" s="188"/>
      <c r="E368" s="189"/>
      <c r="F368" s="190"/>
      <c r="G368" s="190"/>
      <c r="H368" s="189"/>
      <c r="I368" s="189"/>
      <c r="J368" s="191"/>
      <c r="K368" s="191"/>
      <c r="L368" s="61">
        <f t="shared" si="40"/>
        <v>0</v>
      </c>
      <c r="M368" s="192"/>
      <c r="N368" s="193"/>
      <c r="O368" s="192"/>
      <c r="P368" s="194"/>
      <c r="Q368" s="195"/>
      <c r="R368" s="196"/>
      <c r="S368" s="197"/>
      <c r="T368" s="62">
        <f t="shared" si="41"/>
        <v>0</v>
      </c>
      <c r="U368" s="63">
        <f t="shared" si="42"/>
        <v>0</v>
      </c>
      <c r="V368" s="145">
        <f t="shared" si="43"/>
        <v>0</v>
      </c>
      <c r="W368" s="198"/>
      <c r="X368" s="1379"/>
      <c r="Y368" s="1380"/>
      <c r="Z368" s="62">
        <f t="shared" si="44"/>
        <v>0</v>
      </c>
      <c r="AA368" s="146">
        <f t="shared" si="45"/>
        <v>0</v>
      </c>
      <c r="AB368" s="198"/>
      <c r="AC368" s="1379"/>
      <c r="AD368" s="1380"/>
      <c r="AE368" s="62">
        <f t="shared" si="46"/>
        <v>0</v>
      </c>
      <c r="AF368" s="148">
        <f t="shared" si="47"/>
        <v>0</v>
      </c>
      <c r="AG368" s="198"/>
      <c r="AH368" s="1379"/>
      <c r="AI368" s="1380"/>
      <c r="AJ368"/>
      <c r="AK368"/>
      <c r="AL368"/>
      <c r="AM368"/>
      <c r="AN368"/>
    </row>
    <row r="369" spans="1:40" s="66" customFormat="1" ht="14.5">
      <c r="A369" s="186"/>
      <c r="B369" s="187"/>
      <c r="C369" s="188"/>
      <c r="D369" s="188"/>
      <c r="E369" s="189"/>
      <c r="F369" s="190"/>
      <c r="G369" s="190"/>
      <c r="H369" s="189"/>
      <c r="I369" s="189"/>
      <c r="J369" s="191"/>
      <c r="K369" s="191"/>
      <c r="L369" s="61">
        <f t="shared" si="40"/>
        <v>0</v>
      </c>
      <c r="M369" s="192"/>
      <c r="N369" s="193"/>
      <c r="O369" s="192"/>
      <c r="P369" s="194"/>
      <c r="Q369" s="195"/>
      <c r="R369" s="196"/>
      <c r="S369" s="197"/>
      <c r="T369" s="62">
        <f t="shared" si="41"/>
        <v>0</v>
      </c>
      <c r="U369" s="63">
        <f t="shared" si="42"/>
        <v>0</v>
      </c>
      <c r="V369" s="145">
        <f t="shared" si="43"/>
        <v>0</v>
      </c>
      <c r="W369" s="198"/>
      <c r="X369" s="1379"/>
      <c r="Y369" s="1380"/>
      <c r="Z369" s="62">
        <f t="shared" si="44"/>
        <v>0</v>
      </c>
      <c r="AA369" s="146">
        <f t="shared" si="45"/>
        <v>0</v>
      </c>
      <c r="AB369" s="198"/>
      <c r="AC369" s="1379"/>
      <c r="AD369" s="1380"/>
      <c r="AE369" s="62">
        <f t="shared" si="46"/>
        <v>0</v>
      </c>
      <c r="AF369" s="148">
        <f t="shared" si="47"/>
        <v>0</v>
      </c>
      <c r="AG369" s="198"/>
      <c r="AH369" s="1379"/>
      <c r="AI369" s="1380"/>
      <c r="AJ369"/>
      <c r="AK369"/>
      <c r="AL369"/>
      <c r="AM369"/>
      <c r="AN369"/>
    </row>
    <row r="370" spans="1:40" s="66" customFormat="1" ht="14.5">
      <c r="A370" s="186"/>
      <c r="B370" s="187"/>
      <c r="C370" s="188"/>
      <c r="D370" s="188"/>
      <c r="E370" s="189"/>
      <c r="F370" s="190"/>
      <c r="G370" s="190"/>
      <c r="H370" s="189"/>
      <c r="I370" s="189"/>
      <c r="J370" s="191"/>
      <c r="K370" s="191"/>
      <c r="L370" s="61">
        <f t="shared" si="40"/>
        <v>0</v>
      </c>
      <c r="M370" s="192"/>
      <c r="N370" s="193"/>
      <c r="O370" s="192"/>
      <c r="P370" s="194"/>
      <c r="Q370" s="195"/>
      <c r="R370" s="196"/>
      <c r="S370" s="197"/>
      <c r="T370" s="62">
        <f t="shared" si="41"/>
        <v>0</v>
      </c>
      <c r="U370" s="63">
        <f t="shared" si="42"/>
        <v>0</v>
      </c>
      <c r="V370" s="145">
        <f t="shared" si="43"/>
        <v>0</v>
      </c>
      <c r="W370" s="198"/>
      <c r="X370" s="1379"/>
      <c r="Y370" s="1380"/>
      <c r="Z370" s="62">
        <f t="shared" si="44"/>
        <v>0</v>
      </c>
      <c r="AA370" s="146">
        <f t="shared" si="45"/>
        <v>0</v>
      </c>
      <c r="AB370" s="198"/>
      <c r="AC370" s="1379"/>
      <c r="AD370" s="1380"/>
      <c r="AE370" s="62">
        <f t="shared" si="46"/>
        <v>0</v>
      </c>
      <c r="AF370" s="148">
        <f t="shared" si="47"/>
        <v>0</v>
      </c>
      <c r="AG370" s="198"/>
      <c r="AH370" s="1379"/>
      <c r="AI370" s="1380"/>
      <c r="AJ370"/>
      <c r="AK370"/>
      <c r="AL370"/>
      <c r="AM370"/>
      <c r="AN370"/>
    </row>
    <row r="371" spans="1:40" s="66" customFormat="1" ht="14.5">
      <c r="A371" s="186"/>
      <c r="B371" s="187"/>
      <c r="C371" s="188"/>
      <c r="D371" s="188"/>
      <c r="E371" s="189"/>
      <c r="F371" s="190"/>
      <c r="G371" s="190"/>
      <c r="H371" s="189"/>
      <c r="I371" s="189"/>
      <c r="J371" s="191"/>
      <c r="K371" s="191"/>
      <c r="L371" s="61">
        <f t="shared" si="40"/>
        <v>0</v>
      </c>
      <c r="M371" s="192"/>
      <c r="N371" s="193"/>
      <c r="O371" s="192"/>
      <c r="P371" s="194"/>
      <c r="Q371" s="195"/>
      <c r="R371" s="196"/>
      <c r="S371" s="197"/>
      <c r="T371" s="62">
        <f t="shared" si="41"/>
        <v>0</v>
      </c>
      <c r="U371" s="63">
        <f t="shared" si="42"/>
        <v>0</v>
      </c>
      <c r="V371" s="145">
        <f t="shared" si="43"/>
        <v>0</v>
      </c>
      <c r="W371" s="198"/>
      <c r="X371" s="1379"/>
      <c r="Y371" s="1380"/>
      <c r="Z371" s="62">
        <f t="shared" si="44"/>
        <v>0</v>
      </c>
      <c r="AA371" s="146">
        <f t="shared" si="45"/>
        <v>0</v>
      </c>
      <c r="AB371" s="198"/>
      <c r="AC371" s="1379"/>
      <c r="AD371" s="1380"/>
      <c r="AE371" s="62">
        <f t="shared" si="46"/>
        <v>0</v>
      </c>
      <c r="AF371" s="148">
        <f t="shared" si="47"/>
        <v>0</v>
      </c>
      <c r="AG371" s="198"/>
      <c r="AH371" s="1379"/>
      <c r="AI371" s="1380"/>
      <c r="AJ371"/>
      <c r="AK371"/>
      <c r="AL371"/>
      <c r="AM371"/>
      <c r="AN371"/>
    </row>
    <row r="372" spans="1:40" s="66" customFormat="1" ht="14.5">
      <c r="A372" s="186"/>
      <c r="B372" s="187"/>
      <c r="C372" s="188"/>
      <c r="D372" s="188"/>
      <c r="E372" s="189"/>
      <c r="F372" s="190"/>
      <c r="G372" s="190"/>
      <c r="H372" s="189"/>
      <c r="I372" s="189"/>
      <c r="J372" s="191"/>
      <c r="K372" s="191"/>
      <c r="L372" s="61">
        <f t="shared" si="40"/>
        <v>0</v>
      </c>
      <c r="M372" s="192"/>
      <c r="N372" s="193"/>
      <c r="O372" s="192"/>
      <c r="P372" s="194"/>
      <c r="Q372" s="195"/>
      <c r="R372" s="196"/>
      <c r="S372" s="197"/>
      <c r="T372" s="62">
        <f t="shared" si="41"/>
        <v>0</v>
      </c>
      <c r="U372" s="63">
        <f t="shared" si="42"/>
        <v>0</v>
      </c>
      <c r="V372" s="145">
        <f t="shared" si="43"/>
        <v>0</v>
      </c>
      <c r="W372" s="198"/>
      <c r="X372" s="1379"/>
      <c r="Y372" s="1380"/>
      <c r="Z372" s="62">
        <f t="shared" si="44"/>
        <v>0</v>
      </c>
      <c r="AA372" s="146">
        <f t="shared" si="45"/>
        <v>0</v>
      </c>
      <c r="AB372" s="198"/>
      <c r="AC372" s="1379"/>
      <c r="AD372" s="1380"/>
      <c r="AE372" s="62">
        <f t="shared" si="46"/>
        <v>0</v>
      </c>
      <c r="AF372" s="148">
        <f t="shared" si="47"/>
        <v>0</v>
      </c>
      <c r="AG372" s="198"/>
      <c r="AH372" s="1379"/>
      <c r="AI372" s="1380"/>
      <c r="AJ372"/>
      <c r="AK372"/>
      <c r="AL372"/>
      <c r="AM372"/>
      <c r="AN372"/>
    </row>
    <row r="373" spans="1:40" s="66" customFormat="1" ht="14.5">
      <c r="A373" s="186"/>
      <c r="B373" s="187"/>
      <c r="C373" s="188"/>
      <c r="D373" s="188"/>
      <c r="E373" s="189"/>
      <c r="F373" s="190"/>
      <c r="G373" s="190"/>
      <c r="H373" s="189"/>
      <c r="I373" s="189"/>
      <c r="J373" s="191"/>
      <c r="K373" s="191"/>
      <c r="L373" s="61">
        <f t="shared" si="40"/>
        <v>0</v>
      </c>
      <c r="M373" s="192"/>
      <c r="N373" s="193"/>
      <c r="O373" s="192"/>
      <c r="P373" s="194"/>
      <c r="Q373" s="195"/>
      <c r="R373" s="196"/>
      <c r="S373" s="197"/>
      <c r="T373" s="62">
        <f t="shared" si="41"/>
        <v>0</v>
      </c>
      <c r="U373" s="63">
        <f t="shared" si="42"/>
        <v>0</v>
      </c>
      <c r="V373" s="145">
        <f t="shared" si="43"/>
        <v>0</v>
      </c>
      <c r="W373" s="198"/>
      <c r="X373" s="1379"/>
      <c r="Y373" s="1380"/>
      <c r="Z373" s="62">
        <f t="shared" si="44"/>
        <v>0</v>
      </c>
      <c r="AA373" s="146">
        <f t="shared" si="45"/>
        <v>0</v>
      </c>
      <c r="AB373" s="198"/>
      <c r="AC373" s="1379"/>
      <c r="AD373" s="1380"/>
      <c r="AE373" s="62">
        <f t="shared" si="46"/>
        <v>0</v>
      </c>
      <c r="AF373" s="148">
        <f t="shared" si="47"/>
        <v>0</v>
      </c>
      <c r="AG373" s="198"/>
      <c r="AH373" s="1379"/>
      <c r="AI373" s="1380"/>
      <c r="AJ373"/>
      <c r="AK373"/>
      <c r="AL373"/>
      <c r="AM373"/>
      <c r="AN373"/>
    </row>
    <row r="374" spans="1:40" s="66" customFormat="1" ht="14.5">
      <c r="A374" s="186"/>
      <c r="B374" s="187"/>
      <c r="C374" s="188"/>
      <c r="D374" s="188"/>
      <c r="E374" s="189"/>
      <c r="F374" s="190"/>
      <c r="G374" s="190"/>
      <c r="H374" s="189"/>
      <c r="I374" s="189"/>
      <c r="J374" s="191"/>
      <c r="K374" s="191"/>
      <c r="L374" s="61">
        <f t="shared" si="40"/>
        <v>0</v>
      </c>
      <c r="M374" s="192"/>
      <c r="N374" s="193"/>
      <c r="O374" s="192"/>
      <c r="P374" s="194"/>
      <c r="Q374" s="195"/>
      <c r="R374" s="196"/>
      <c r="S374" s="197"/>
      <c r="T374" s="62">
        <f t="shared" si="41"/>
        <v>0</v>
      </c>
      <c r="U374" s="63">
        <f t="shared" si="42"/>
        <v>0</v>
      </c>
      <c r="V374" s="145">
        <f t="shared" si="43"/>
        <v>0</v>
      </c>
      <c r="W374" s="198"/>
      <c r="X374" s="1379"/>
      <c r="Y374" s="1380"/>
      <c r="Z374" s="62">
        <f t="shared" si="44"/>
        <v>0</v>
      </c>
      <c r="AA374" s="146">
        <f t="shared" si="45"/>
        <v>0</v>
      </c>
      <c r="AB374" s="198"/>
      <c r="AC374" s="1379"/>
      <c r="AD374" s="1380"/>
      <c r="AE374" s="62">
        <f t="shared" si="46"/>
        <v>0</v>
      </c>
      <c r="AF374" s="148">
        <f t="shared" si="47"/>
        <v>0</v>
      </c>
      <c r="AG374" s="198"/>
      <c r="AH374" s="1379"/>
      <c r="AI374" s="1380"/>
      <c r="AJ374"/>
      <c r="AK374"/>
      <c r="AL374"/>
      <c r="AM374"/>
      <c r="AN374"/>
    </row>
    <row r="375" spans="1:40" s="66" customFormat="1" ht="14.5">
      <c r="A375" s="186"/>
      <c r="B375" s="187"/>
      <c r="C375" s="188"/>
      <c r="D375" s="188"/>
      <c r="E375" s="189"/>
      <c r="F375" s="190"/>
      <c r="G375" s="190"/>
      <c r="H375" s="189"/>
      <c r="I375" s="189"/>
      <c r="J375" s="191"/>
      <c r="K375" s="191"/>
      <c r="L375" s="61">
        <f t="shared" si="40"/>
        <v>0</v>
      </c>
      <c r="M375" s="192"/>
      <c r="N375" s="193"/>
      <c r="O375" s="192"/>
      <c r="P375" s="194"/>
      <c r="Q375" s="195"/>
      <c r="R375" s="196"/>
      <c r="S375" s="197"/>
      <c r="T375" s="62">
        <f t="shared" si="41"/>
        <v>0</v>
      </c>
      <c r="U375" s="63">
        <f t="shared" si="42"/>
        <v>0</v>
      </c>
      <c r="V375" s="145">
        <f t="shared" si="43"/>
        <v>0</v>
      </c>
      <c r="W375" s="198"/>
      <c r="X375" s="1379"/>
      <c r="Y375" s="1380"/>
      <c r="Z375" s="62">
        <f t="shared" si="44"/>
        <v>0</v>
      </c>
      <c r="AA375" s="146">
        <f t="shared" si="45"/>
        <v>0</v>
      </c>
      <c r="AB375" s="198"/>
      <c r="AC375" s="1379"/>
      <c r="AD375" s="1380"/>
      <c r="AE375" s="62">
        <f t="shared" si="46"/>
        <v>0</v>
      </c>
      <c r="AF375" s="148">
        <f t="shared" si="47"/>
        <v>0</v>
      </c>
      <c r="AG375" s="198"/>
      <c r="AH375" s="1379"/>
      <c r="AI375" s="1380"/>
      <c r="AJ375"/>
      <c r="AK375"/>
      <c r="AL375"/>
      <c r="AM375"/>
      <c r="AN375"/>
    </row>
    <row r="376" spans="1:40" s="66" customFormat="1" ht="14.5">
      <c r="A376" s="186"/>
      <c r="B376" s="187"/>
      <c r="C376" s="188"/>
      <c r="D376" s="188"/>
      <c r="E376" s="189"/>
      <c r="F376" s="190"/>
      <c r="G376" s="190"/>
      <c r="H376" s="189"/>
      <c r="I376" s="189"/>
      <c r="J376" s="191"/>
      <c r="K376" s="191"/>
      <c r="L376" s="61">
        <f t="shared" si="40"/>
        <v>0</v>
      </c>
      <c r="M376" s="192"/>
      <c r="N376" s="193"/>
      <c r="O376" s="192"/>
      <c r="P376" s="194"/>
      <c r="Q376" s="195"/>
      <c r="R376" s="196"/>
      <c r="S376" s="197"/>
      <c r="T376" s="62">
        <f t="shared" si="41"/>
        <v>0</v>
      </c>
      <c r="U376" s="63">
        <f t="shared" si="42"/>
        <v>0</v>
      </c>
      <c r="V376" s="145">
        <f t="shared" si="43"/>
        <v>0</v>
      </c>
      <c r="W376" s="198"/>
      <c r="X376" s="1379"/>
      <c r="Y376" s="1380"/>
      <c r="Z376" s="62">
        <f t="shared" si="44"/>
        <v>0</v>
      </c>
      <c r="AA376" s="146">
        <f t="shared" si="45"/>
        <v>0</v>
      </c>
      <c r="AB376" s="198"/>
      <c r="AC376" s="1379"/>
      <c r="AD376" s="1380"/>
      <c r="AE376" s="62">
        <f t="shared" si="46"/>
        <v>0</v>
      </c>
      <c r="AF376" s="148">
        <f t="shared" si="47"/>
        <v>0</v>
      </c>
      <c r="AG376" s="198"/>
      <c r="AH376" s="1379"/>
      <c r="AI376" s="1380"/>
      <c r="AJ376"/>
      <c r="AK376"/>
      <c r="AL376"/>
      <c r="AM376"/>
      <c r="AN376"/>
    </row>
    <row r="377" spans="1:40" s="66" customFormat="1" ht="14.5">
      <c r="A377" s="186"/>
      <c r="B377" s="187"/>
      <c r="C377" s="188"/>
      <c r="D377" s="188"/>
      <c r="E377" s="189"/>
      <c r="F377" s="190"/>
      <c r="G377" s="190"/>
      <c r="H377" s="189"/>
      <c r="I377" s="189"/>
      <c r="J377" s="191"/>
      <c r="K377" s="191"/>
      <c r="L377" s="61">
        <f t="shared" si="40"/>
        <v>0</v>
      </c>
      <c r="M377" s="192"/>
      <c r="N377" s="193"/>
      <c r="O377" s="192"/>
      <c r="P377" s="194"/>
      <c r="Q377" s="195"/>
      <c r="R377" s="196"/>
      <c r="S377" s="197"/>
      <c r="T377" s="62">
        <f t="shared" si="41"/>
        <v>0</v>
      </c>
      <c r="U377" s="63">
        <f t="shared" si="42"/>
        <v>0</v>
      </c>
      <c r="V377" s="145">
        <f t="shared" si="43"/>
        <v>0</v>
      </c>
      <c r="W377" s="198"/>
      <c r="X377" s="1379"/>
      <c r="Y377" s="1380"/>
      <c r="Z377" s="62">
        <f t="shared" si="44"/>
        <v>0</v>
      </c>
      <c r="AA377" s="146">
        <f t="shared" si="45"/>
        <v>0</v>
      </c>
      <c r="AB377" s="198"/>
      <c r="AC377" s="1379"/>
      <c r="AD377" s="1380"/>
      <c r="AE377" s="62">
        <f t="shared" si="46"/>
        <v>0</v>
      </c>
      <c r="AF377" s="148">
        <f t="shared" si="47"/>
        <v>0</v>
      </c>
      <c r="AG377" s="198"/>
      <c r="AH377" s="1379"/>
      <c r="AI377" s="1380"/>
      <c r="AJ377"/>
      <c r="AK377"/>
      <c r="AL377"/>
      <c r="AM377"/>
      <c r="AN377"/>
    </row>
    <row r="378" spans="1:40" s="66" customFormat="1" ht="14.5">
      <c r="A378" s="186"/>
      <c r="B378" s="187"/>
      <c r="C378" s="188"/>
      <c r="D378" s="188"/>
      <c r="E378" s="189"/>
      <c r="F378" s="190"/>
      <c r="G378" s="190"/>
      <c r="H378" s="189"/>
      <c r="I378" s="189"/>
      <c r="J378" s="191"/>
      <c r="K378" s="191"/>
      <c r="L378" s="61">
        <f t="shared" si="40"/>
        <v>0</v>
      </c>
      <c r="M378" s="192"/>
      <c r="N378" s="193"/>
      <c r="O378" s="192"/>
      <c r="P378" s="194"/>
      <c r="Q378" s="195"/>
      <c r="R378" s="196"/>
      <c r="S378" s="197"/>
      <c r="T378" s="62">
        <f t="shared" si="41"/>
        <v>0</v>
      </c>
      <c r="U378" s="63">
        <f t="shared" si="42"/>
        <v>0</v>
      </c>
      <c r="V378" s="145">
        <f t="shared" si="43"/>
        <v>0</v>
      </c>
      <c r="W378" s="198"/>
      <c r="X378" s="1379"/>
      <c r="Y378" s="1380"/>
      <c r="Z378" s="62">
        <f t="shared" si="44"/>
        <v>0</v>
      </c>
      <c r="AA378" s="146">
        <f t="shared" si="45"/>
        <v>0</v>
      </c>
      <c r="AB378" s="198"/>
      <c r="AC378" s="1379"/>
      <c r="AD378" s="1380"/>
      <c r="AE378" s="62">
        <f t="shared" si="46"/>
        <v>0</v>
      </c>
      <c r="AF378" s="148">
        <f t="shared" si="47"/>
        <v>0</v>
      </c>
      <c r="AG378" s="198"/>
      <c r="AH378" s="1379"/>
      <c r="AI378" s="1380"/>
      <c r="AJ378"/>
      <c r="AK378"/>
      <c r="AL378"/>
      <c r="AM378"/>
      <c r="AN378"/>
    </row>
    <row r="379" spans="1:40" s="66" customFormat="1" ht="14.5">
      <c r="A379" s="186"/>
      <c r="B379" s="187"/>
      <c r="C379" s="188"/>
      <c r="D379" s="188"/>
      <c r="E379" s="189"/>
      <c r="F379" s="190"/>
      <c r="G379" s="190"/>
      <c r="H379" s="189"/>
      <c r="I379" s="189"/>
      <c r="J379" s="191"/>
      <c r="K379" s="191"/>
      <c r="L379" s="61">
        <f t="shared" si="40"/>
        <v>0</v>
      </c>
      <c r="M379" s="192"/>
      <c r="N379" s="193"/>
      <c r="O379" s="192"/>
      <c r="P379" s="194"/>
      <c r="Q379" s="195"/>
      <c r="R379" s="196"/>
      <c r="S379" s="197"/>
      <c r="T379" s="62">
        <f t="shared" si="41"/>
        <v>0</v>
      </c>
      <c r="U379" s="63">
        <f t="shared" si="42"/>
        <v>0</v>
      </c>
      <c r="V379" s="145">
        <f t="shared" si="43"/>
        <v>0</v>
      </c>
      <c r="W379" s="198"/>
      <c r="X379" s="1379"/>
      <c r="Y379" s="1380"/>
      <c r="Z379" s="62">
        <f t="shared" si="44"/>
        <v>0</v>
      </c>
      <c r="AA379" s="146">
        <f t="shared" si="45"/>
        <v>0</v>
      </c>
      <c r="AB379" s="198"/>
      <c r="AC379" s="1379"/>
      <c r="AD379" s="1380"/>
      <c r="AE379" s="62">
        <f t="shared" si="46"/>
        <v>0</v>
      </c>
      <c r="AF379" s="148">
        <f t="shared" si="47"/>
        <v>0</v>
      </c>
      <c r="AG379" s="198"/>
      <c r="AH379" s="1379"/>
      <c r="AI379" s="1380"/>
      <c r="AJ379"/>
      <c r="AK379"/>
      <c r="AL379"/>
      <c r="AM379"/>
      <c r="AN379"/>
    </row>
    <row r="380" spans="1:40" s="66" customFormat="1" ht="14.5">
      <c r="A380" s="186"/>
      <c r="B380" s="187"/>
      <c r="C380" s="188"/>
      <c r="D380" s="188"/>
      <c r="E380" s="189"/>
      <c r="F380" s="190"/>
      <c r="G380" s="190"/>
      <c r="H380" s="189"/>
      <c r="I380" s="189"/>
      <c r="J380" s="191"/>
      <c r="K380" s="191"/>
      <c r="L380" s="61">
        <f t="shared" si="40"/>
        <v>0</v>
      </c>
      <c r="M380" s="192"/>
      <c r="N380" s="193"/>
      <c r="O380" s="192"/>
      <c r="P380" s="194"/>
      <c r="Q380" s="195"/>
      <c r="R380" s="196"/>
      <c r="S380" s="197"/>
      <c r="T380" s="62">
        <f t="shared" si="41"/>
        <v>0</v>
      </c>
      <c r="U380" s="63">
        <f t="shared" si="42"/>
        <v>0</v>
      </c>
      <c r="V380" s="145">
        <f t="shared" si="43"/>
        <v>0</v>
      </c>
      <c r="W380" s="198"/>
      <c r="X380" s="1379"/>
      <c r="Y380" s="1380"/>
      <c r="Z380" s="62">
        <f t="shared" si="44"/>
        <v>0</v>
      </c>
      <c r="AA380" s="146">
        <f t="shared" si="45"/>
        <v>0</v>
      </c>
      <c r="AB380" s="198"/>
      <c r="AC380" s="1379"/>
      <c r="AD380" s="1380"/>
      <c r="AE380" s="62">
        <f t="shared" si="46"/>
        <v>0</v>
      </c>
      <c r="AF380" s="148">
        <f t="shared" si="47"/>
        <v>0</v>
      </c>
      <c r="AG380" s="198"/>
      <c r="AH380" s="1379"/>
      <c r="AI380" s="1380"/>
      <c r="AJ380"/>
      <c r="AK380"/>
      <c r="AL380"/>
      <c r="AM380"/>
      <c r="AN380"/>
    </row>
    <row r="381" spans="1:40" s="66" customFormat="1" ht="14.5">
      <c r="A381" s="186"/>
      <c r="B381" s="187"/>
      <c r="C381" s="188"/>
      <c r="D381" s="188"/>
      <c r="E381" s="189"/>
      <c r="F381" s="190"/>
      <c r="G381" s="190"/>
      <c r="H381" s="189"/>
      <c r="I381" s="189"/>
      <c r="J381" s="191"/>
      <c r="K381" s="191"/>
      <c r="L381" s="61">
        <f t="shared" si="40"/>
        <v>0</v>
      </c>
      <c r="M381" s="192"/>
      <c r="N381" s="193"/>
      <c r="O381" s="192"/>
      <c r="P381" s="194"/>
      <c r="Q381" s="195"/>
      <c r="R381" s="196"/>
      <c r="S381" s="197"/>
      <c r="T381" s="62">
        <f t="shared" si="41"/>
        <v>0</v>
      </c>
      <c r="U381" s="63">
        <f t="shared" si="42"/>
        <v>0</v>
      </c>
      <c r="V381" s="145">
        <f t="shared" si="43"/>
        <v>0</v>
      </c>
      <c r="W381" s="198"/>
      <c r="X381" s="1379"/>
      <c r="Y381" s="1380"/>
      <c r="Z381" s="62">
        <f t="shared" si="44"/>
        <v>0</v>
      </c>
      <c r="AA381" s="146">
        <f t="shared" si="45"/>
        <v>0</v>
      </c>
      <c r="AB381" s="198"/>
      <c r="AC381" s="1379"/>
      <c r="AD381" s="1380"/>
      <c r="AE381" s="62">
        <f t="shared" si="46"/>
        <v>0</v>
      </c>
      <c r="AF381" s="148">
        <f t="shared" si="47"/>
        <v>0</v>
      </c>
      <c r="AG381" s="198"/>
      <c r="AH381" s="1379"/>
      <c r="AI381" s="1380"/>
      <c r="AJ381"/>
      <c r="AK381"/>
      <c r="AL381"/>
      <c r="AM381"/>
      <c r="AN381"/>
    </row>
    <row r="382" spans="1:40" s="66" customFormat="1" ht="14.5">
      <c r="A382" s="186"/>
      <c r="B382" s="187"/>
      <c r="C382" s="188"/>
      <c r="D382" s="188"/>
      <c r="E382" s="189"/>
      <c r="F382" s="190"/>
      <c r="G382" s="190"/>
      <c r="H382" s="189"/>
      <c r="I382" s="189"/>
      <c r="J382" s="191"/>
      <c r="K382" s="191"/>
      <c r="L382" s="61">
        <f t="shared" si="40"/>
        <v>0</v>
      </c>
      <c r="M382" s="192"/>
      <c r="N382" s="193"/>
      <c r="O382" s="192"/>
      <c r="P382" s="194"/>
      <c r="Q382" s="195"/>
      <c r="R382" s="196"/>
      <c r="S382" s="197"/>
      <c r="T382" s="62">
        <f t="shared" si="41"/>
        <v>0</v>
      </c>
      <c r="U382" s="63">
        <f t="shared" si="42"/>
        <v>0</v>
      </c>
      <c r="V382" s="145">
        <f t="shared" si="43"/>
        <v>0</v>
      </c>
      <c r="W382" s="198"/>
      <c r="X382" s="1379"/>
      <c r="Y382" s="1380"/>
      <c r="Z382" s="62">
        <f t="shared" si="44"/>
        <v>0</v>
      </c>
      <c r="AA382" s="146">
        <f t="shared" si="45"/>
        <v>0</v>
      </c>
      <c r="AB382" s="198"/>
      <c r="AC382" s="1379"/>
      <c r="AD382" s="1380"/>
      <c r="AE382" s="62">
        <f t="shared" si="46"/>
        <v>0</v>
      </c>
      <c r="AF382" s="148">
        <f t="shared" si="47"/>
        <v>0</v>
      </c>
      <c r="AG382" s="198"/>
      <c r="AH382" s="1379"/>
      <c r="AI382" s="1380"/>
      <c r="AJ382"/>
      <c r="AK382"/>
      <c r="AL382"/>
      <c r="AM382"/>
      <c r="AN382"/>
    </row>
    <row r="383" spans="1:40" s="66" customFormat="1" ht="14.5">
      <c r="A383" s="186"/>
      <c r="B383" s="187"/>
      <c r="C383" s="188"/>
      <c r="D383" s="188"/>
      <c r="E383" s="189"/>
      <c r="F383" s="190"/>
      <c r="G383" s="190"/>
      <c r="H383" s="189"/>
      <c r="I383" s="189"/>
      <c r="J383" s="191"/>
      <c r="K383" s="191"/>
      <c r="L383" s="61">
        <f t="shared" si="40"/>
        <v>0</v>
      </c>
      <c r="M383" s="192"/>
      <c r="N383" s="193"/>
      <c r="O383" s="192"/>
      <c r="P383" s="194"/>
      <c r="Q383" s="195"/>
      <c r="R383" s="196"/>
      <c r="S383" s="197"/>
      <c r="T383" s="62">
        <f t="shared" si="41"/>
        <v>0</v>
      </c>
      <c r="U383" s="63">
        <f t="shared" si="42"/>
        <v>0</v>
      </c>
      <c r="V383" s="145">
        <f t="shared" si="43"/>
        <v>0</v>
      </c>
      <c r="W383" s="198"/>
      <c r="X383" s="1379"/>
      <c r="Y383" s="1380"/>
      <c r="Z383" s="62">
        <f t="shared" si="44"/>
        <v>0</v>
      </c>
      <c r="AA383" s="146">
        <f t="shared" si="45"/>
        <v>0</v>
      </c>
      <c r="AB383" s="198"/>
      <c r="AC383" s="1379"/>
      <c r="AD383" s="1380"/>
      <c r="AE383" s="62">
        <f t="shared" si="46"/>
        <v>0</v>
      </c>
      <c r="AF383" s="148">
        <f t="shared" si="47"/>
        <v>0</v>
      </c>
      <c r="AG383" s="198"/>
      <c r="AH383" s="1379"/>
      <c r="AI383" s="1380"/>
      <c r="AJ383"/>
      <c r="AK383"/>
      <c r="AL383"/>
      <c r="AM383"/>
      <c r="AN383"/>
    </row>
    <row r="384" spans="1:40" s="66" customFormat="1" ht="14.5">
      <c r="A384" s="186"/>
      <c r="B384" s="187"/>
      <c r="C384" s="188"/>
      <c r="D384" s="188"/>
      <c r="E384" s="189"/>
      <c r="F384" s="190"/>
      <c r="G384" s="190"/>
      <c r="H384" s="189"/>
      <c r="I384" s="189"/>
      <c r="J384" s="191"/>
      <c r="K384" s="191"/>
      <c r="L384" s="61">
        <f t="shared" si="40"/>
        <v>0</v>
      </c>
      <c r="M384" s="192"/>
      <c r="N384" s="193"/>
      <c r="O384" s="192"/>
      <c r="P384" s="194"/>
      <c r="Q384" s="195"/>
      <c r="R384" s="196"/>
      <c r="S384" s="197"/>
      <c r="T384" s="62">
        <f t="shared" si="41"/>
        <v>0</v>
      </c>
      <c r="U384" s="63">
        <f t="shared" si="42"/>
        <v>0</v>
      </c>
      <c r="V384" s="145">
        <f t="shared" si="43"/>
        <v>0</v>
      </c>
      <c r="W384" s="198"/>
      <c r="X384" s="1379"/>
      <c r="Y384" s="1380"/>
      <c r="Z384" s="62">
        <f t="shared" si="44"/>
        <v>0</v>
      </c>
      <c r="AA384" s="146">
        <f t="shared" si="45"/>
        <v>0</v>
      </c>
      <c r="AB384" s="198"/>
      <c r="AC384" s="1379"/>
      <c r="AD384" s="1380"/>
      <c r="AE384" s="62">
        <f t="shared" si="46"/>
        <v>0</v>
      </c>
      <c r="AF384" s="148">
        <f t="shared" si="47"/>
        <v>0</v>
      </c>
      <c r="AG384" s="198"/>
      <c r="AH384" s="1379"/>
      <c r="AI384" s="1380"/>
      <c r="AJ384"/>
      <c r="AK384"/>
      <c r="AL384"/>
      <c r="AM384"/>
      <c r="AN384"/>
    </row>
    <row r="385" spans="1:40" s="66" customFormat="1" ht="14.5">
      <c r="A385" s="186"/>
      <c r="B385" s="187"/>
      <c r="C385" s="188"/>
      <c r="D385" s="188"/>
      <c r="E385" s="189"/>
      <c r="F385" s="190"/>
      <c r="G385" s="190"/>
      <c r="H385" s="189"/>
      <c r="I385" s="189"/>
      <c r="J385" s="191"/>
      <c r="K385" s="191"/>
      <c r="L385" s="61">
        <f t="shared" si="40"/>
        <v>0</v>
      </c>
      <c r="M385" s="192"/>
      <c r="N385" s="193"/>
      <c r="O385" s="192"/>
      <c r="P385" s="194"/>
      <c r="Q385" s="195"/>
      <c r="R385" s="196"/>
      <c r="S385" s="197"/>
      <c r="T385" s="62">
        <f t="shared" si="41"/>
        <v>0</v>
      </c>
      <c r="U385" s="63">
        <f t="shared" si="42"/>
        <v>0</v>
      </c>
      <c r="V385" s="145">
        <f t="shared" si="43"/>
        <v>0</v>
      </c>
      <c r="W385" s="198"/>
      <c r="X385" s="1379"/>
      <c r="Y385" s="1380"/>
      <c r="Z385" s="62">
        <f t="shared" si="44"/>
        <v>0</v>
      </c>
      <c r="AA385" s="146">
        <f t="shared" si="45"/>
        <v>0</v>
      </c>
      <c r="AB385" s="198"/>
      <c r="AC385" s="1379"/>
      <c r="AD385" s="1380"/>
      <c r="AE385" s="62">
        <f t="shared" si="46"/>
        <v>0</v>
      </c>
      <c r="AF385" s="148">
        <f t="shared" si="47"/>
        <v>0</v>
      </c>
      <c r="AG385" s="198"/>
      <c r="AH385" s="1379"/>
      <c r="AI385" s="1380"/>
      <c r="AJ385"/>
      <c r="AK385"/>
      <c r="AL385"/>
      <c r="AM385"/>
      <c r="AN385"/>
    </row>
    <row r="386" spans="1:40" s="66" customFormat="1" ht="14.5">
      <c r="A386" s="186"/>
      <c r="B386" s="187"/>
      <c r="C386" s="188"/>
      <c r="D386" s="188"/>
      <c r="E386" s="189"/>
      <c r="F386" s="190"/>
      <c r="G386" s="190"/>
      <c r="H386" s="189"/>
      <c r="I386" s="189"/>
      <c r="J386" s="191"/>
      <c r="K386" s="191"/>
      <c r="L386" s="61">
        <f t="shared" si="40"/>
        <v>0</v>
      </c>
      <c r="M386" s="192"/>
      <c r="N386" s="193"/>
      <c r="O386" s="192"/>
      <c r="P386" s="194"/>
      <c r="Q386" s="195"/>
      <c r="R386" s="196"/>
      <c r="S386" s="197"/>
      <c r="T386" s="62">
        <f t="shared" si="41"/>
        <v>0</v>
      </c>
      <c r="U386" s="63">
        <f t="shared" si="42"/>
        <v>0</v>
      </c>
      <c r="V386" s="145">
        <f t="shared" si="43"/>
        <v>0</v>
      </c>
      <c r="W386" s="198"/>
      <c r="X386" s="1379"/>
      <c r="Y386" s="1380"/>
      <c r="Z386" s="62">
        <f t="shared" si="44"/>
        <v>0</v>
      </c>
      <c r="AA386" s="146">
        <f t="shared" si="45"/>
        <v>0</v>
      </c>
      <c r="AB386" s="198"/>
      <c r="AC386" s="1379"/>
      <c r="AD386" s="1380"/>
      <c r="AE386" s="62">
        <f t="shared" si="46"/>
        <v>0</v>
      </c>
      <c r="AF386" s="148">
        <f t="shared" si="47"/>
        <v>0</v>
      </c>
      <c r="AG386" s="198"/>
      <c r="AH386" s="1379"/>
      <c r="AI386" s="1380"/>
      <c r="AJ386"/>
      <c r="AK386"/>
      <c r="AL386"/>
      <c r="AM386"/>
      <c r="AN386"/>
    </row>
    <row r="387" spans="1:40" s="66" customFormat="1" ht="14.5">
      <c r="A387" s="186"/>
      <c r="B387" s="187"/>
      <c r="C387" s="188"/>
      <c r="D387" s="188"/>
      <c r="E387" s="189"/>
      <c r="F387" s="190"/>
      <c r="G387" s="190"/>
      <c r="H387" s="189"/>
      <c r="I387" s="189"/>
      <c r="J387" s="191"/>
      <c r="K387" s="191"/>
      <c r="L387" s="61">
        <f t="shared" si="40"/>
        <v>0</v>
      </c>
      <c r="M387" s="192"/>
      <c r="N387" s="193"/>
      <c r="O387" s="192"/>
      <c r="P387" s="194"/>
      <c r="Q387" s="195"/>
      <c r="R387" s="196"/>
      <c r="S387" s="197"/>
      <c r="T387" s="62">
        <f t="shared" si="41"/>
        <v>0</v>
      </c>
      <c r="U387" s="63">
        <f t="shared" si="42"/>
        <v>0</v>
      </c>
      <c r="V387" s="145">
        <f t="shared" si="43"/>
        <v>0</v>
      </c>
      <c r="W387" s="198"/>
      <c r="X387" s="1379"/>
      <c r="Y387" s="1380"/>
      <c r="Z387" s="62">
        <f t="shared" si="44"/>
        <v>0</v>
      </c>
      <c r="AA387" s="146">
        <f t="shared" si="45"/>
        <v>0</v>
      </c>
      <c r="AB387" s="198"/>
      <c r="AC387" s="1379"/>
      <c r="AD387" s="1380"/>
      <c r="AE387" s="62">
        <f t="shared" si="46"/>
        <v>0</v>
      </c>
      <c r="AF387" s="148">
        <f t="shared" si="47"/>
        <v>0</v>
      </c>
      <c r="AG387" s="198"/>
      <c r="AH387" s="1379"/>
      <c r="AI387" s="1380"/>
      <c r="AJ387"/>
      <c r="AK387"/>
      <c r="AL387"/>
      <c r="AM387"/>
      <c r="AN387"/>
    </row>
    <row r="388" spans="1:40" s="66" customFormat="1" ht="14.5">
      <c r="A388" s="186"/>
      <c r="B388" s="187"/>
      <c r="C388" s="188"/>
      <c r="D388" s="188"/>
      <c r="E388" s="189"/>
      <c r="F388" s="190"/>
      <c r="G388" s="190"/>
      <c r="H388" s="189"/>
      <c r="I388" s="189"/>
      <c r="J388" s="191"/>
      <c r="K388" s="191"/>
      <c r="L388" s="61">
        <f t="shared" si="40"/>
        <v>0</v>
      </c>
      <c r="M388" s="192"/>
      <c r="N388" s="193"/>
      <c r="O388" s="192"/>
      <c r="P388" s="194"/>
      <c r="Q388" s="195"/>
      <c r="R388" s="196"/>
      <c r="S388" s="197"/>
      <c r="T388" s="62">
        <f t="shared" si="41"/>
        <v>0</v>
      </c>
      <c r="U388" s="63">
        <f t="shared" si="42"/>
        <v>0</v>
      </c>
      <c r="V388" s="145">
        <f t="shared" si="43"/>
        <v>0</v>
      </c>
      <c r="W388" s="198"/>
      <c r="X388" s="1379"/>
      <c r="Y388" s="1380"/>
      <c r="Z388" s="62">
        <f t="shared" si="44"/>
        <v>0</v>
      </c>
      <c r="AA388" s="146">
        <f t="shared" si="45"/>
        <v>0</v>
      </c>
      <c r="AB388" s="198"/>
      <c r="AC388" s="1379"/>
      <c r="AD388" s="1380"/>
      <c r="AE388" s="62">
        <f t="shared" si="46"/>
        <v>0</v>
      </c>
      <c r="AF388" s="148">
        <f t="shared" si="47"/>
        <v>0</v>
      </c>
      <c r="AG388" s="198"/>
      <c r="AH388" s="1379"/>
      <c r="AI388" s="1380"/>
      <c r="AJ388"/>
      <c r="AK388"/>
      <c r="AL388"/>
      <c r="AM388"/>
      <c r="AN388"/>
    </row>
    <row r="389" spans="1:40" s="66" customFormat="1" ht="14.5">
      <c r="A389" s="186"/>
      <c r="B389" s="187"/>
      <c r="C389" s="188"/>
      <c r="D389" s="188"/>
      <c r="E389" s="189"/>
      <c r="F389" s="190"/>
      <c r="G389" s="190"/>
      <c r="H389" s="189"/>
      <c r="I389" s="189"/>
      <c r="J389" s="191"/>
      <c r="K389" s="191"/>
      <c r="L389" s="61">
        <f t="shared" si="40"/>
        <v>0</v>
      </c>
      <c r="M389" s="192"/>
      <c r="N389" s="193"/>
      <c r="O389" s="192"/>
      <c r="P389" s="194"/>
      <c r="Q389" s="195"/>
      <c r="R389" s="196"/>
      <c r="S389" s="197"/>
      <c r="T389" s="62">
        <f t="shared" si="41"/>
        <v>0</v>
      </c>
      <c r="U389" s="63">
        <f t="shared" si="42"/>
        <v>0</v>
      </c>
      <c r="V389" s="145">
        <f t="shared" si="43"/>
        <v>0</v>
      </c>
      <c r="W389" s="198"/>
      <c r="X389" s="1379"/>
      <c r="Y389" s="1380"/>
      <c r="Z389" s="62">
        <f t="shared" si="44"/>
        <v>0</v>
      </c>
      <c r="AA389" s="146">
        <f t="shared" si="45"/>
        <v>0</v>
      </c>
      <c r="AB389" s="198"/>
      <c r="AC389" s="1379"/>
      <c r="AD389" s="1380"/>
      <c r="AE389" s="62">
        <f t="shared" si="46"/>
        <v>0</v>
      </c>
      <c r="AF389" s="148">
        <f t="shared" si="47"/>
        <v>0</v>
      </c>
      <c r="AG389" s="198"/>
      <c r="AH389" s="1379"/>
      <c r="AI389" s="1380"/>
      <c r="AJ389"/>
      <c r="AK389"/>
      <c r="AL389"/>
      <c r="AM389"/>
      <c r="AN389"/>
    </row>
    <row r="390" spans="1:40" s="66" customFormat="1" ht="14.5">
      <c r="A390" s="186"/>
      <c r="B390" s="187"/>
      <c r="C390" s="188"/>
      <c r="D390" s="188"/>
      <c r="E390" s="189"/>
      <c r="F390" s="190"/>
      <c r="G390" s="190"/>
      <c r="H390" s="189"/>
      <c r="I390" s="189"/>
      <c r="J390" s="191"/>
      <c r="K390" s="191"/>
      <c r="L390" s="61">
        <f t="shared" si="40"/>
        <v>0</v>
      </c>
      <c r="M390" s="192"/>
      <c r="N390" s="193"/>
      <c r="O390" s="192"/>
      <c r="P390" s="194"/>
      <c r="Q390" s="195"/>
      <c r="R390" s="196"/>
      <c r="S390" s="197"/>
      <c r="T390" s="62">
        <f t="shared" si="41"/>
        <v>0</v>
      </c>
      <c r="U390" s="63">
        <f t="shared" si="42"/>
        <v>0</v>
      </c>
      <c r="V390" s="145">
        <f t="shared" si="43"/>
        <v>0</v>
      </c>
      <c r="W390" s="198"/>
      <c r="X390" s="1379"/>
      <c r="Y390" s="1380"/>
      <c r="Z390" s="62">
        <f t="shared" si="44"/>
        <v>0</v>
      </c>
      <c r="AA390" s="146">
        <f t="shared" si="45"/>
        <v>0</v>
      </c>
      <c r="AB390" s="198"/>
      <c r="AC390" s="1379"/>
      <c r="AD390" s="1380"/>
      <c r="AE390" s="62">
        <f t="shared" si="46"/>
        <v>0</v>
      </c>
      <c r="AF390" s="148">
        <f t="shared" si="47"/>
        <v>0</v>
      </c>
      <c r="AG390" s="198"/>
      <c r="AH390" s="1379"/>
      <c r="AI390" s="1380"/>
      <c r="AJ390"/>
      <c r="AK390"/>
      <c r="AL390"/>
      <c r="AM390"/>
      <c r="AN390"/>
    </row>
    <row r="391" spans="1:40" s="66" customFormat="1" ht="14.5">
      <c r="A391" s="186"/>
      <c r="B391" s="187"/>
      <c r="C391" s="188"/>
      <c r="D391" s="188"/>
      <c r="E391" s="189"/>
      <c r="F391" s="190"/>
      <c r="G391" s="190"/>
      <c r="H391" s="189"/>
      <c r="I391" s="189"/>
      <c r="J391" s="191"/>
      <c r="K391" s="191"/>
      <c r="L391" s="61">
        <f t="shared" si="40"/>
        <v>0</v>
      </c>
      <c r="M391" s="192"/>
      <c r="N391" s="193"/>
      <c r="O391" s="192"/>
      <c r="P391" s="194"/>
      <c r="Q391" s="195"/>
      <c r="R391" s="196"/>
      <c r="S391" s="197"/>
      <c r="T391" s="62">
        <f t="shared" si="41"/>
        <v>0</v>
      </c>
      <c r="U391" s="63">
        <f t="shared" si="42"/>
        <v>0</v>
      </c>
      <c r="V391" s="145">
        <f t="shared" si="43"/>
        <v>0</v>
      </c>
      <c r="W391" s="198"/>
      <c r="X391" s="1379"/>
      <c r="Y391" s="1380"/>
      <c r="Z391" s="62">
        <f t="shared" si="44"/>
        <v>0</v>
      </c>
      <c r="AA391" s="146">
        <f t="shared" si="45"/>
        <v>0</v>
      </c>
      <c r="AB391" s="198"/>
      <c r="AC391" s="1379"/>
      <c r="AD391" s="1380"/>
      <c r="AE391" s="62">
        <f t="shared" si="46"/>
        <v>0</v>
      </c>
      <c r="AF391" s="148">
        <f t="shared" si="47"/>
        <v>0</v>
      </c>
      <c r="AG391" s="198"/>
      <c r="AH391" s="1379"/>
      <c r="AI391" s="1380"/>
      <c r="AJ391"/>
      <c r="AK391"/>
      <c r="AL391"/>
      <c r="AM391"/>
      <c r="AN391"/>
    </row>
    <row r="392" spans="1:40" s="66" customFormat="1" ht="14.5">
      <c r="A392" s="186"/>
      <c r="B392" s="187"/>
      <c r="C392" s="188"/>
      <c r="D392" s="188"/>
      <c r="E392" s="189"/>
      <c r="F392" s="190"/>
      <c r="G392" s="190"/>
      <c r="H392" s="189"/>
      <c r="I392" s="189"/>
      <c r="J392" s="191"/>
      <c r="K392" s="191"/>
      <c r="L392" s="61">
        <f t="shared" si="40"/>
        <v>0</v>
      </c>
      <c r="M392" s="192"/>
      <c r="N392" s="193"/>
      <c r="O392" s="192"/>
      <c r="P392" s="194"/>
      <c r="Q392" s="195"/>
      <c r="R392" s="196"/>
      <c r="S392" s="197"/>
      <c r="T392" s="62">
        <f t="shared" si="41"/>
        <v>0</v>
      </c>
      <c r="U392" s="63">
        <f t="shared" si="42"/>
        <v>0</v>
      </c>
      <c r="V392" s="145">
        <f t="shared" si="43"/>
        <v>0</v>
      </c>
      <c r="W392" s="198"/>
      <c r="X392" s="1379"/>
      <c r="Y392" s="1380"/>
      <c r="Z392" s="62">
        <f t="shared" si="44"/>
        <v>0</v>
      </c>
      <c r="AA392" s="146">
        <f t="shared" si="45"/>
        <v>0</v>
      </c>
      <c r="AB392" s="198"/>
      <c r="AC392" s="1379"/>
      <c r="AD392" s="1380"/>
      <c r="AE392" s="62">
        <f t="shared" si="46"/>
        <v>0</v>
      </c>
      <c r="AF392" s="148">
        <f t="shared" si="47"/>
        <v>0</v>
      </c>
      <c r="AG392" s="198"/>
      <c r="AH392" s="1379"/>
      <c r="AI392" s="1380"/>
      <c r="AJ392"/>
      <c r="AK392"/>
      <c r="AL392"/>
      <c r="AM392"/>
      <c r="AN392"/>
    </row>
    <row r="393" spans="1:40" s="66" customFormat="1" ht="14.5">
      <c r="A393" s="186"/>
      <c r="B393" s="187"/>
      <c r="C393" s="188"/>
      <c r="D393" s="188"/>
      <c r="E393" s="189"/>
      <c r="F393" s="190"/>
      <c r="G393" s="190"/>
      <c r="H393" s="189"/>
      <c r="I393" s="189"/>
      <c r="J393" s="191"/>
      <c r="K393" s="191"/>
      <c r="L393" s="61">
        <f t="shared" si="40"/>
        <v>0</v>
      </c>
      <c r="M393" s="192"/>
      <c r="N393" s="193"/>
      <c r="O393" s="192"/>
      <c r="P393" s="194"/>
      <c r="Q393" s="195"/>
      <c r="R393" s="196"/>
      <c r="S393" s="197"/>
      <c r="T393" s="62">
        <f t="shared" si="41"/>
        <v>0</v>
      </c>
      <c r="U393" s="63">
        <f t="shared" si="42"/>
        <v>0</v>
      </c>
      <c r="V393" s="145">
        <f t="shared" si="43"/>
        <v>0</v>
      </c>
      <c r="W393" s="198"/>
      <c r="X393" s="1379"/>
      <c r="Y393" s="1380"/>
      <c r="Z393" s="62">
        <f t="shared" si="44"/>
        <v>0</v>
      </c>
      <c r="AA393" s="146">
        <f t="shared" si="45"/>
        <v>0</v>
      </c>
      <c r="AB393" s="198"/>
      <c r="AC393" s="1379"/>
      <c r="AD393" s="1380"/>
      <c r="AE393" s="62">
        <f t="shared" si="46"/>
        <v>0</v>
      </c>
      <c r="AF393" s="148">
        <f t="shared" si="47"/>
        <v>0</v>
      </c>
      <c r="AG393" s="198"/>
      <c r="AH393" s="1379"/>
      <c r="AI393" s="1380"/>
      <c r="AJ393"/>
      <c r="AK393"/>
      <c r="AL393"/>
      <c r="AM393"/>
      <c r="AN393"/>
    </row>
    <row r="394" spans="1:40" s="66" customFormat="1" ht="14.5">
      <c r="A394" s="186"/>
      <c r="B394" s="187"/>
      <c r="C394" s="188"/>
      <c r="D394" s="188"/>
      <c r="E394" s="189"/>
      <c r="F394" s="190"/>
      <c r="G394" s="190"/>
      <c r="H394" s="189"/>
      <c r="I394" s="189"/>
      <c r="J394" s="191"/>
      <c r="K394" s="191"/>
      <c r="L394" s="61">
        <f t="shared" si="40"/>
        <v>0</v>
      </c>
      <c r="M394" s="192"/>
      <c r="N394" s="193"/>
      <c r="O394" s="192"/>
      <c r="P394" s="194"/>
      <c r="Q394" s="195"/>
      <c r="R394" s="196"/>
      <c r="S394" s="197"/>
      <c r="T394" s="62">
        <f t="shared" si="41"/>
        <v>0</v>
      </c>
      <c r="U394" s="63">
        <f t="shared" si="42"/>
        <v>0</v>
      </c>
      <c r="V394" s="145">
        <f t="shared" si="43"/>
        <v>0</v>
      </c>
      <c r="W394" s="198"/>
      <c r="X394" s="1379"/>
      <c r="Y394" s="1380"/>
      <c r="Z394" s="62">
        <f t="shared" si="44"/>
        <v>0</v>
      </c>
      <c r="AA394" s="146">
        <f t="shared" si="45"/>
        <v>0</v>
      </c>
      <c r="AB394" s="198"/>
      <c r="AC394" s="1379"/>
      <c r="AD394" s="1380"/>
      <c r="AE394" s="62">
        <f t="shared" si="46"/>
        <v>0</v>
      </c>
      <c r="AF394" s="148">
        <f t="shared" si="47"/>
        <v>0</v>
      </c>
      <c r="AG394" s="198"/>
      <c r="AH394" s="1379"/>
      <c r="AI394" s="1380"/>
      <c r="AJ394"/>
      <c r="AK394"/>
      <c r="AL394"/>
      <c r="AM394"/>
      <c r="AN394"/>
    </row>
    <row r="395" spans="1:40" s="66" customFormat="1" ht="14.5">
      <c r="A395" s="186"/>
      <c r="B395" s="187"/>
      <c r="C395" s="188"/>
      <c r="D395" s="188"/>
      <c r="E395" s="189"/>
      <c r="F395" s="190"/>
      <c r="G395" s="190"/>
      <c r="H395" s="189"/>
      <c r="I395" s="189"/>
      <c r="J395" s="191"/>
      <c r="K395" s="191"/>
      <c r="L395" s="61">
        <f t="shared" si="40"/>
        <v>0</v>
      </c>
      <c r="M395" s="192"/>
      <c r="N395" s="193"/>
      <c r="O395" s="192"/>
      <c r="P395" s="194"/>
      <c r="Q395" s="195"/>
      <c r="R395" s="196"/>
      <c r="S395" s="197"/>
      <c r="T395" s="62">
        <f t="shared" si="41"/>
        <v>0</v>
      </c>
      <c r="U395" s="63">
        <f t="shared" si="42"/>
        <v>0</v>
      </c>
      <c r="V395" s="145">
        <f t="shared" si="43"/>
        <v>0</v>
      </c>
      <c r="W395" s="198"/>
      <c r="X395" s="1379"/>
      <c r="Y395" s="1380"/>
      <c r="Z395" s="62">
        <f t="shared" si="44"/>
        <v>0</v>
      </c>
      <c r="AA395" s="146">
        <f t="shared" si="45"/>
        <v>0</v>
      </c>
      <c r="AB395" s="198"/>
      <c r="AC395" s="1379"/>
      <c r="AD395" s="1380"/>
      <c r="AE395" s="62">
        <f t="shared" si="46"/>
        <v>0</v>
      </c>
      <c r="AF395" s="148">
        <f t="shared" si="47"/>
        <v>0</v>
      </c>
      <c r="AG395" s="198"/>
      <c r="AH395" s="1379"/>
      <c r="AI395" s="1380"/>
      <c r="AJ395"/>
      <c r="AK395"/>
      <c r="AL395"/>
      <c r="AM395"/>
      <c r="AN395"/>
    </row>
    <row r="396" spans="1:40" s="66" customFormat="1" ht="14.5">
      <c r="A396" s="186"/>
      <c r="B396" s="187"/>
      <c r="C396" s="188"/>
      <c r="D396" s="188"/>
      <c r="E396" s="189"/>
      <c r="F396" s="190"/>
      <c r="G396" s="190"/>
      <c r="H396" s="189"/>
      <c r="I396" s="189"/>
      <c r="J396" s="191"/>
      <c r="K396" s="191"/>
      <c r="L396" s="61">
        <f t="shared" si="40"/>
        <v>0</v>
      </c>
      <c r="M396" s="192"/>
      <c r="N396" s="193"/>
      <c r="O396" s="192"/>
      <c r="P396" s="194"/>
      <c r="Q396" s="195"/>
      <c r="R396" s="196"/>
      <c r="S396" s="197"/>
      <c r="T396" s="62">
        <f t="shared" si="41"/>
        <v>0</v>
      </c>
      <c r="U396" s="63">
        <f t="shared" si="42"/>
        <v>0</v>
      </c>
      <c r="V396" s="145">
        <f t="shared" si="43"/>
        <v>0</v>
      </c>
      <c r="W396" s="198"/>
      <c r="X396" s="1379"/>
      <c r="Y396" s="1380"/>
      <c r="Z396" s="62">
        <f t="shared" si="44"/>
        <v>0</v>
      </c>
      <c r="AA396" s="146">
        <f t="shared" si="45"/>
        <v>0</v>
      </c>
      <c r="AB396" s="198"/>
      <c r="AC396" s="1379"/>
      <c r="AD396" s="1380"/>
      <c r="AE396" s="62">
        <f t="shared" si="46"/>
        <v>0</v>
      </c>
      <c r="AF396" s="148">
        <f t="shared" si="47"/>
        <v>0</v>
      </c>
      <c r="AG396" s="198"/>
      <c r="AH396" s="1379"/>
      <c r="AI396" s="1380"/>
      <c r="AJ396"/>
      <c r="AK396"/>
      <c r="AL396"/>
      <c r="AM396"/>
      <c r="AN396"/>
    </row>
    <row r="397" spans="1:40" s="66" customFormat="1" ht="14.5">
      <c r="A397" s="186"/>
      <c r="B397" s="187"/>
      <c r="C397" s="188"/>
      <c r="D397" s="188"/>
      <c r="E397" s="189"/>
      <c r="F397" s="190"/>
      <c r="G397" s="190"/>
      <c r="H397" s="189"/>
      <c r="I397" s="189"/>
      <c r="J397" s="191"/>
      <c r="K397" s="191"/>
      <c r="L397" s="61">
        <f t="shared" si="40"/>
        <v>0</v>
      </c>
      <c r="M397" s="192"/>
      <c r="N397" s="193"/>
      <c r="O397" s="192"/>
      <c r="P397" s="194"/>
      <c r="Q397" s="195"/>
      <c r="R397" s="196"/>
      <c r="S397" s="197"/>
      <c r="T397" s="62">
        <f t="shared" si="41"/>
        <v>0</v>
      </c>
      <c r="U397" s="63">
        <f t="shared" si="42"/>
        <v>0</v>
      </c>
      <c r="V397" s="145">
        <f t="shared" si="43"/>
        <v>0</v>
      </c>
      <c r="W397" s="198"/>
      <c r="X397" s="1379"/>
      <c r="Y397" s="1380"/>
      <c r="Z397" s="62">
        <f t="shared" si="44"/>
        <v>0</v>
      </c>
      <c r="AA397" s="146">
        <f t="shared" si="45"/>
        <v>0</v>
      </c>
      <c r="AB397" s="198"/>
      <c r="AC397" s="1379"/>
      <c r="AD397" s="1380"/>
      <c r="AE397" s="62">
        <f t="shared" si="46"/>
        <v>0</v>
      </c>
      <c r="AF397" s="148">
        <f t="shared" si="47"/>
        <v>0</v>
      </c>
      <c r="AG397" s="198"/>
      <c r="AH397" s="1379"/>
      <c r="AI397" s="1380"/>
      <c r="AJ397"/>
      <c r="AK397"/>
      <c r="AL397"/>
      <c r="AM397"/>
      <c r="AN397"/>
    </row>
    <row r="398" spans="1:40" s="66" customFormat="1" ht="14.5">
      <c r="A398" s="186"/>
      <c r="B398" s="187"/>
      <c r="C398" s="188"/>
      <c r="D398" s="188"/>
      <c r="E398" s="189"/>
      <c r="F398" s="190"/>
      <c r="G398" s="190"/>
      <c r="H398" s="189"/>
      <c r="I398" s="189"/>
      <c r="J398" s="191"/>
      <c r="K398" s="191"/>
      <c r="L398" s="61">
        <f t="shared" ref="L398:L461" si="48">IF(I398=0,0,(K398+J398)/I398)</f>
        <v>0</v>
      </c>
      <c r="M398" s="192"/>
      <c r="N398" s="193"/>
      <c r="O398" s="192"/>
      <c r="P398" s="194"/>
      <c r="Q398" s="195"/>
      <c r="R398" s="196"/>
      <c r="S398" s="197"/>
      <c r="T398" s="62">
        <f t="shared" ref="T398:T461" si="49">IF(S398=0,0,((S398*Q398)-Z398))</f>
        <v>0</v>
      </c>
      <c r="U398" s="63">
        <f t="shared" ref="U398:U461" si="50">+Q398-I398</f>
        <v>0</v>
      </c>
      <c r="V398" s="145">
        <f t="shared" ref="V398:V461" si="51">(T398-J398)</f>
        <v>0</v>
      </c>
      <c r="W398" s="198"/>
      <c r="X398" s="1379"/>
      <c r="Y398" s="1380"/>
      <c r="Z398" s="62">
        <f t="shared" ref="Z398:Z461" si="52">IF(I398=0,0,M398/H398*Q398)</f>
        <v>0</v>
      </c>
      <c r="AA398" s="146">
        <f t="shared" ref="AA398:AA461" si="53">+Z398-O398</f>
        <v>0</v>
      </c>
      <c r="AB398" s="198"/>
      <c r="AC398" s="1379"/>
      <c r="AD398" s="1380"/>
      <c r="AE398" s="62">
        <f t="shared" ref="AE398:AE461" si="54">IF(H398=0, 0, N398 / H398 * R398)</f>
        <v>0</v>
      </c>
      <c r="AF398" s="148">
        <f t="shared" ref="AF398:AF461" si="55">+AE398-P398</f>
        <v>0</v>
      </c>
      <c r="AG398" s="198"/>
      <c r="AH398" s="1379"/>
      <c r="AI398" s="1380"/>
      <c r="AJ398"/>
      <c r="AK398"/>
      <c r="AL398"/>
      <c r="AM398"/>
      <c r="AN398"/>
    </row>
    <row r="399" spans="1:40" s="66" customFormat="1" ht="14.5">
      <c r="A399" s="186"/>
      <c r="B399" s="187"/>
      <c r="C399" s="188"/>
      <c r="D399" s="188"/>
      <c r="E399" s="189"/>
      <c r="F399" s="190"/>
      <c r="G399" s="190"/>
      <c r="H399" s="189"/>
      <c r="I399" s="189"/>
      <c r="J399" s="191"/>
      <c r="K399" s="191"/>
      <c r="L399" s="61">
        <f t="shared" si="48"/>
        <v>0</v>
      </c>
      <c r="M399" s="192"/>
      <c r="N399" s="193"/>
      <c r="O399" s="192"/>
      <c r="P399" s="194"/>
      <c r="Q399" s="195"/>
      <c r="R399" s="196"/>
      <c r="S399" s="197"/>
      <c r="T399" s="62">
        <f t="shared" si="49"/>
        <v>0</v>
      </c>
      <c r="U399" s="63">
        <f t="shared" si="50"/>
        <v>0</v>
      </c>
      <c r="V399" s="145">
        <f t="shared" si="51"/>
        <v>0</v>
      </c>
      <c r="W399" s="198"/>
      <c r="X399" s="1379"/>
      <c r="Y399" s="1380"/>
      <c r="Z399" s="62">
        <f t="shared" si="52"/>
        <v>0</v>
      </c>
      <c r="AA399" s="146">
        <f t="shared" si="53"/>
        <v>0</v>
      </c>
      <c r="AB399" s="198"/>
      <c r="AC399" s="1379"/>
      <c r="AD399" s="1380"/>
      <c r="AE399" s="62">
        <f t="shared" si="54"/>
        <v>0</v>
      </c>
      <c r="AF399" s="148">
        <f t="shared" si="55"/>
        <v>0</v>
      </c>
      <c r="AG399" s="198"/>
      <c r="AH399" s="1379"/>
      <c r="AI399" s="1380"/>
      <c r="AJ399"/>
      <c r="AK399"/>
      <c r="AL399"/>
      <c r="AM399"/>
      <c r="AN399"/>
    </row>
    <row r="400" spans="1:40" s="66" customFormat="1" ht="14.5">
      <c r="A400" s="186"/>
      <c r="B400" s="187"/>
      <c r="C400" s="188"/>
      <c r="D400" s="188"/>
      <c r="E400" s="189"/>
      <c r="F400" s="190"/>
      <c r="G400" s="190"/>
      <c r="H400" s="189"/>
      <c r="I400" s="189"/>
      <c r="J400" s="191"/>
      <c r="K400" s="191"/>
      <c r="L400" s="61">
        <f t="shared" si="48"/>
        <v>0</v>
      </c>
      <c r="M400" s="192"/>
      <c r="N400" s="193"/>
      <c r="O400" s="192"/>
      <c r="P400" s="194"/>
      <c r="Q400" s="195"/>
      <c r="R400" s="196"/>
      <c r="S400" s="197"/>
      <c r="T400" s="62">
        <f t="shared" si="49"/>
        <v>0</v>
      </c>
      <c r="U400" s="63">
        <f t="shared" si="50"/>
        <v>0</v>
      </c>
      <c r="V400" s="145">
        <f t="shared" si="51"/>
        <v>0</v>
      </c>
      <c r="W400" s="198"/>
      <c r="X400" s="1379"/>
      <c r="Y400" s="1380"/>
      <c r="Z400" s="62">
        <f t="shared" si="52"/>
        <v>0</v>
      </c>
      <c r="AA400" s="146">
        <f t="shared" si="53"/>
        <v>0</v>
      </c>
      <c r="AB400" s="198"/>
      <c r="AC400" s="1379"/>
      <c r="AD400" s="1380"/>
      <c r="AE400" s="62">
        <f t="shared" si="54"/>
        <v>0</v>
      </c>
      <c r="AF400" s="148">
        <f t="shared" si="55"/>
        <v>0</v>
      </c>
      <c r="AG400" s="198"/>
      <c r="AH400" s="1379"/>
      <c r="AI400" s="1380"/>
      <c r="AJ400"/>
      <c r="AK400"/>
      <c r="AL400"/>
      <c r="AM400"/>
      <c r="AN400"/>
    </row>
    <row r="401" spans="1:40" s="66" customFormat="1" ht="14.5">
      <c r="A401" s="186"/>
      <c r="B401" s="187"/>
      <c r="C401" s="188"/>
      <c r="D401" s="188"/>
      <c r="E401" s="189"/>
      <c r="F401" s="190"/>
      <c r="G401" s="190"/>
      <c r="H401" s="189"/>
      <c r="I401" s="189"/>
      <c r="J401" s="191"/>
      <c r="K401" s="191"/>
      <c r="L401" s="61">
        <f t="shared" si="48"/>
        <v>0</v>
      </c>
      <c r="M401" s="192"/>
      <c r="N401" s="193"/>
      <c r="O401" s="192"/>
      <c r="P401" s="194"/>
      <c r="Q401" s="195"/>
      <c r="R401" s="196"/>
      <c r="S401" s="197"/>
      <c r="T401" s="62">
        <f t="shared" si="49"/>
        <v>0</v>
      </c>
      <c r="U401" s="63">
        <f t="shared" si="50"/>
        <v>0</v>
      </c>
      <c r="V401" s="145">
        <f t="shared" si="51"/>
        <v>0</v>
      </c>
      <c r="W401" s="198"/>
      <c r="X401" s="1379"/>
      <c r="Y401" s="1380"/>
      <c r="Z401" s="62">
        <f t="shared" si="52"/>
        <v>0</v>
      </c>
      <c r="AA401" s="146">
        <f t="shared" si="53"/>
        <v>0</v>
      </c>
      <c r="AB401" s="198"/>
      <c r="AC401" s="1379"/>
      <c r="AD401" s="1380"/>
      <c r="AE401" s="62">
        <f t="shared" si="54"/>
        <v>0</v>
      </c>
      <c r="AF401" s="148">
        <f t="shared" si="55"/>
        <v>0</v>
      </c>
      <c r="AG401" s="198"/>
      <c r="AH401" s="1379"/>
      <c r="AI401" s="1380"/>
      <c r="AJ401"/>
      <c r="AK401"/>
      <c r="AL401"/>
      <c r="AM401"/>
      <c r="AN401"/>
    </row>
    <row r="402" spans="1:40" s="66" customFormat="1" ht="14.5">
      <c r="A402" s="186"/>
      <c r="B402" s="187"/>
      <c r="C402" s="188"/>
      <c r="D402" s="188"/>
      <c r="E402" s="189"/>
      <c r="F402" s="190"/>
      <c r="G402" s="190"/>
      <c r="H402" s="189"/>
      <c r="I402" s="189"/>
      <c r="J402" s="191"/>
      <c r="K402" s="191"/>
      <c r="L402" s="61">
        <f t="shared" si="48"/>
        <v>0</v>
      </c>
      <c r="M402" s="192"/>
      <c r="N402" s="193"/>
      <c r="O402" s="192"/>
      <c r="P402" s="194"/>
      <c r="Q402" s="195"/>
      <c r="R402" s="196"/>
      <c r="S402" s="197"/>
      <c r="T402" s="62">
        <f t="shared" si="49"/>
        <v>0</v>
      </c>
      <c r="U402" s="63">
        <f t="shared" si="50"/>
        <v>0</v>
      </c>
      <c r="V402" s="145">
        <f t="shared" si="51"/>
        <v>0</v>
      </c>
      <c r="W402" s="198"/>
      <c r="X402" s="1379"/>
      <c r="Y402" s="1380"/>
      <c r="Z402" s="62">
        <f t="shared" si="52"/>
        <v>0</v>
      </c>
      <c r="AA402" s="146">
        <f t="shared" si="53"/>
        <v>0</v>
      </c>
      <c r="AB402" s="198"/>
      <c r="AC402" s="1379"/>
      <c r="AD402" s="1380"/>
      <c r="AE402" s="62">
        <f t="shared" si="54"/>
        <v>0</v>
      </c>
      <c r="AF402" s="148">
        <f t="shared" si="55"/>
        <v>0</v>
      </c>
      <c r="AG402" s="198"/>
      <c r="AH402" s="1379"/>
      <c r="AI402" s="1380"/>
      <c r="AJ402"/>
      <c r="AK402"/>
      <c r="AL402"/>
      <c r="AM402"/>
      <c r="AN402"/>
    </row>
    <row r="403" spans="1:40" s="66" customFormat="1" ht="14.5">
      <c r="A403" s="186"/>
      <c r="B403" s="187"/>
      <c r="C403" s="188"/>
      <c r="D403" s="188"/>
      <c r="E403" s="189"/>
      <c r="F403" s="190"/>
      <c r="G403" s="190"/>
      <c r="H403" s="189"/>
      <c r="I403" s="189"/>
      <c r="J403" s="191"/>
      <c r="K403" s="191"/>
      <c r="L403" s="61">
        <f t="shared" si="48"/>
        <v>0</v>
      </c>
      <c r="M403" s="192"/>
      <c r="N403" s="193"/>
      <c r="O403" s="192"/>
      <c r="P403" s="194"/>
      <c r="Q403" s="195"/>
      <c r="R403" s="196"/>
      <c r="S403" s="197"/>
      <c r="T403" s="62">
        <f t="shared" si="49"/>
        <v>0</v>
      </c>
      <c r="U403" s="63">
        <f t="shared" si="50"/>
        <v>0</v>
      </c>
      <c r="V403" s="145">
        <f t="shared" si="51"/>
        <v>0</v>
      </c>
      <c r="W403" s="198"/>
      <c r="X403" s="1379"/>
      <c r="Y403" s="1380"/>
      <c r="Z403" s="62">
        <f t="shared" si="52"/>
        <v>0</v>
      </c>
      <c r="AA403" s="146">
        <f t="shared" si="53"/>
        <v>0</v>
      </c>
      <c r="AB403" s="198"/>
      <c r="AC403" s="1379"/>
      <c r="AD403" s="1380"/>
      <c r="AE403" s="62">
        <f t="shared" si="54"/>
        <v>0</v>
      </c>
      <c r="AF403" s="148">
        <f t="shared" si="55"/>
        <v>0</v>
      </c>
      <c r="AG403" s="198"/>
      <c r="AH403" s="1379"/>
      <c r="AI403" s="1380"/>
      <c r="AJ403"/>
      <c r="AK403"/>
      <c r="AL403"/>
      <c r="AM403"/>
      <c r="AN403"/>
    </row>
    <row r="404" spans="1:40" s="66" customFormat="1" ht="14.5">
      <c r="A404" s="186"/>
      <c r="B404" s="187"/>
      <c r="C404" s="188"/>
      <c r="D404" s="188"/>
      <c r="E404" s="189"/>
      <c r="F404" s="190"/>
      <c r="G404" s="190"/>
      <c r="H404" s="189"/>
      <c r="I404" s="189"/>
      <c r="J404" s="191"/>
      <c r="K404" s="191"/>
      <c r="L404" s="61">
        <f t="shared" si="48"/>
        <v>0</v>
      </c>
      <c r="M404" s="192"/>
      <c r="N404" s="193"/>
      <c r="O404" s="192"/>
      <c r="P404" s="194"/>
      <c r="Q404" s="195"/>
      <c r="R404" s="196"/>
      <c r="S404" s="197"/>
      <c r="T404" s="62">
        <f t="shared" si="49"/>
        <v>0</v>
      </c>
      <c r="U404" s="63">
        <f t="shared" si="50"/>
        <v>0</v>
      </c>
      <c r="V404" s="145">
        <f t="shared" si="51"/>
        <v>0</v>
      </c>
      <c r="W404" s="198"/>
      <c r="X404" s="1379"/>
      <c r="Y404" s="1380"/>
      <c r="Z404" s="62">
        <f t="shared" si="52"/>
        <v>0</v>
      </c>
      <c r="AA404" s="146">
        <f t="shared" si="53"/>
        <v>0</v>
      </c>
      <c r="AB404" s="198"/>
      <c r="AC404" s="1379"/>
      <c r="AD404" s="1380"/>
      <c r="AE404" s="62">
        <f t="shared" si="54"/>
        <v>0</v>
      </c>
      <c r="AF404" s="148">
        <f t="shared" si="55"/>
        <v>0</v>
      </c>
      <c r="AG404" s="198"/>
      <c r="AH404" s="1379"/>
      <c r="AI404" s="1380"/>
      <c r="AJ404"/>
      <c r="AK404"/>
      <c r="AL404"/>
      <c r="AM404"/>
      <c r="AN404"/>
    </row>
    <row r="405" spans="1:40" s="66" customFormat="1" ht="14.5">
      <c r="A405" s="186"/>
      <c r="B405" s="187"/>
      <c r="C405" s="188"/>
      <c r="D405" s="188"/>
      <c r="E405" s="189"/>
      <c r="F405" s="190"/>
      <c r="G405" s="190"/>
      <c r="H405" s="189"/>
      <c r="I405" s="189"/>
      <c r="J405" s="191"/>
      <c r="K405" s="191"/>
      <c r="L405" s="61">
        <f t="shared" si="48"/>
        <v>0</v>
      </c>
      <c r="M405" s="192"/>
      <c r="N405" s="193"/>
      <c r="O405" s="192"/>
      <c r="P405" s="194"/>
      <c r="Q405" s="195"/>
      <c r="R405" s="196"/>
      <c r="S405" s="197"/>
      <c r="T405" s="62">
        <f t="shared" si="49"/>
        <v>0</v>
      </c>
      <c r="U405" s="63">
        <f t="shared" si="50"/>
        <v>0</v>
      </c>
      <c r="V405" s="145">
        <f t="shared" si="51"/>
        <v>0</v>
      </c>
      <c r="W405" s="198"/>
      <c r="X405" s="1379"/>
      <c r="Y405" s="1380"/>
      <c r="Z405" s="62">
        <f t="shared" si="52"/>
        <v>0</v>
      </c>
      <c r="AA405" s="146">
        <f t="shared" si="53"/>
        <v>0</v>
      </c>
      <c r="AB405" s="198"/>
      <c r="AC405" s="1379"/>
      <c r="AD405" s="1380"/>
      <c r="AE405" s="62">
        <f t="shared" si="54"/>
        <v>0</v>
      </c>
      <c r="AF405" s="148">
        <f t="shared" si="55"/>
        <v>0</v>
      </c>
      <c r="AG405" s="198"/>
      <c r="AH405" s="1379"/>
      <c r="AI405" s="1380"/>
      <c r="AJ405"/>
      <c r="AK405"/>
      <c r="AL405"/>
      <c r="AM405"/>
      <c r="AN405"/>
    </row>
    <row r="406" spans="1:40" s="66" customFormat="1" ht="14.5">
      <c r="A406" s="186"/>
      <c r="B406" s="187"/>
      <c r="C406" s="188"/>
      <c r="D406" s="188"/>
      <c r="E406" s="189"/>
      <c r="F406" s="190"/>
      <c r="G406" s="190"/>
      <c r="H406" s="189"/>
      <c r="I406" s="189"/>
      <c r="J406" s="191"/>
      <c r="K406" s="191"/>
      <c r="L406" s="61">
        <f t="shared" si="48"/>
        <v>0</v>
      </c>
      <c r="M406" s="192"/>
      <c r="N406" s="193"/>
      <c r="O406" s="192"/>
      <c r="P406" s="194"/>
      <c r="Q406" s="195"/>
      <c r="R406" s="196"/>
      <c r="S406" s="197"/>
      <c r="T406" s="62">
        <f t="shared" si="49"/>
        <v>0</v>
      </c>
      <c r="U406" s="63">
        <f t="shared" si="50"/>
        <v>0</v>
      </c>
      <c r="V406" s="145">
        <f t="shared" si="51"/>
        <v>0</v>
      </c>
      <c r="W406" s="198"/>
      <c r="X406" s="1379"/>
      <c r="Y406" s="1380"/>
      <c r="Z406" s="62">
        <f t="shared" si="52"/>
        <v>0</v>
      </c>
      <c r="AA406" s="146">
        <f t="shared" si="53"/>
        <v>0</v>
      </c>
      <c r="AB406" s="198"/>
      <c r="AC406" s="1379"/>
      <c r="AD406" s="1380"/>
      <c r="AE406" s="62">
        <f t="shared" si="54"/>
        <v>0</v>
      </c>
      <c r="AF406" s="148">
        <f t="shared" si="55"/>
        <v>0</v>
      </c>
      <c r="AG406" s="198"/>
      <c r="AH406" s="1379"/>
      <c r="AI406" s="1380"/>
      <c r="AJ406"/>
      <c r="AK406"/>
      <c r="AL406"/>
      <c r="AM406"/>
      <c r="AN406"/>
    </row>
    <row r="407" spans="1:40" s="66" customFormat="1" ht="14.5">
      <c r="A407" s="186"/>
      <c r="B407" s="187"/>
      <c r="C407" s="188"/>
      <c r="D407" s="188"/>
      <c r="E407" s="189"/>
      <c r="F407" s="190"/>
      <c r="G407" s="190"/>
      <c r="H407" s="189"/>
      <c r="I407" s="189"/>
      <c r="J407" s="191"/>
      <c r="K407" s="191"/>
      <c r="L407" s="61">
        <f t="shared" si="48"/>
        <v>0</v>
      </c>
      <c r="M407" s="192"/>
      <c r="N407" s="193"/>
      <c r="O407" s="192"/>
      <c r="P407" s="194"/>
      <c r="Q407" s="195"/>
      <c r="R407" s="196"/>
      <c r="S407" s="197"/>
      <c r="T407" s="62">
        <f t="shared" si="49"/>
        <v>0</v>
      </c>
      <c r="U407" s="63">
        <f t="shared" si="50"/>
        <v>0</v>
      </c>
      <c r="V407" s="145">
        <f t="shared" si="51"/>
        <v>0</v>
      </c>
      <c r="W407" s="198"/>
      <c r="X407" s="1379"/>
      <c r="Y407" s="1380"/>
      <c r="Z407" s="62">
        <f t="shared" si="52"/>
        <v>0</v>
      </c>
      <c r="AA407" s="146">
        <f t="shared" si="53"/>
        <v>0</v>
      </c>
      <c r="AB407" s="198"/>
      <c r="AC407" s="1379"/>
      <c r="AD407" s="1380"/>
      <c r="AE407" s="62">
        <f t="shared" si="54"/>
        <v>0</v>
      </c>
      <c r="AF407" s="148">
        <f t="shared" si="55"/>
        <v>0</v>
      </c>
      <c r="AG407" s="198"/>
      <c r="AH407" s="1379"/>
      <c r="AI407" s="1380"/>
      <c r="AJ407"/>
      <c r="AK407"/>
      <c r="AL407"/>
      <c r="AM407"/>
      <c r="AN407"/>
    </row>
    <row r="408" spans="1:40" s="66" customFormat="1" ht="14.5">
      <c r="A408" s="186"/>
      <c r="B408" s="187"/>
      <c r="C408" s="188"/>
      <c r="D408" s="188"/>
      <c r="E408" s="189"/>
      <c r="F408" s="190"/>
      <c r="G408" s="190"/>
      <c r="H408" s="189"/>
      <c r="I408" s="189"/>
      <c r="J408" s="191"/>
      <c r="K408" s="191"/>
      <c r="L408" s="61">
        <f t="shared" si="48"/>
        <v>0</v>
      </c>
      <c r="M408" s="192"/>
      <c r="N408" s="193"/>
      <c r="O408" s="192"/>
      <c r="P408" s="194"/>
      <c r="Q408" s="195"/>
      <c r="R408" s="196"/>
      <c r="S408" s="197"/>
      <c r="T408" s="62">
        <f t="shared" si="49"/>
        <v>0</v>
      </c>
      <c r="U408" s="63">
        <f t="shared" si="50"/>
        <v>0</v>
      </c>
      <c r="V408" s="145">
        <f t="shared" si="51"/>
        <v>0</v>
      </c>
      <c r="W408" s="198"/>
      <c r="X408" s="1379"/>
      <c r="Y408" s="1380"/>
      <c r="Z408" s="62">
        <f t="shared" si="52"/>
        <v>0</v>
      </c>
      <c r="AA408" s="146">
        <f t="shared" si="53"/>
        <v>0</v>
      </c>
      <c r="AB408" s="198"/>
      <c r="AC408" s="1379"/>
      <c r="AD408" s="1380"/>
      <c r="AE408" s="62">
        <f t="shared" si="54"/>
        <v>0</v>
      </c>
      <c r="AF408" s="148">
        <f t="shared" si="55"/>
        <v>0</v>
      </c>
      <c r="AG408" s="198"/>
      <c r="AH408" s="1379"/>
      <c r="AI408" s="1380"/>
      <c r="AJ408"/>
      <c r="AK408"/>
      <c r="AL408"/>
      <c r="AM408"/>
      <c r="AN408"/>
    </row>
    <row r="409" spans="1:40" s="66" customFormat="1" ht="14.5">
      <c r="A409" s="186"/>
      <c r="B409" s="187"/>
      <c r="C409" s="188"/>
      <c r="D409" s="188"/>
      <c r="E409" s="189"/>
      <c r="F409" s="190"/>
      <c r="G409" s="190"/>
      <c r="H409" s="189"/>
      <c r="I409" s="189"/>
      <c r="J409" s="191"/>
      <c r="K409" s="191"/>
      <c r="L409" s="61">
        <f t="shared" si="48"/>
        <v>0</v>
      </c>
      <c r="M409" s="192"/>
      <c r="N409" s="193"/>
      <c r="O409" s="192"/>
      <c r="P409" s="194"/>
      <c r="Q409" s="195"/>
      <c r="R409" s="196"/>
      <c r="S409" s="197"/>
      <c r="T409" s="62">
        <f t="shared" si="49"/>
        <v>0</v>
      </c>
      <c r="U409" s="63">
        <f t="shared" si="50"/>
        <v>0</v>
      </c>
      <c r="V409" s="145">
        <f t="shared" si="51"/>
        <v>0</v>
      </c>
      <c r="W409" s="198"/>
      <c r="X409" s="1379"/>
      <c r="Y409" s="1380"/>
      <c r="Z409" s="62">
        <f t="shared" si="52"/>
        <v>0</v>
      </c>
      <c r="AA409" s="146">
        <f t="shared" si="53"/>
        <v>0</v>
      </c>
      <c r="AB409" s="198"/>
      <c r="AC409" s="1379"/>
      <c r="AD409" s="1380"/>
      <c r="AE409" s="62">
        <f t="shared" si="54"/>
        <v>0</v>
      </c>
      <c r="AF409" s="148">
        <f t="shared" si="55"/>
        <v>0</v>
      </c>
      <c r="AG409" s="198"/>
      <c r="AH409" s="1379"/>
      <c r="AI409" s="1380"/>
      <c r="AJ409"/>
      <c r="AK409"/>
      <c r="AL409"/>
      <c r="AM409"/>
      <c r="AN409"/>
    </row>
    <row r="410" spans="1:40" s="66" customFormat="1" ht="14.5">
      <c r="A410" s="186"/>
      <c r="B410" s="187"/>
      <c r="C410" s="188"/>
      <c r="D410" s="188"/>
      <c r="E410" s="189"/>
      <c r="F410" s="190"/>
      <c r="G410" s="190"/>
      <c r="H410" s="189"/>
      <c r="I410" s="189"/>
      <c r="J410" s="191"/>
      <c r="K410" s="191"/>
      <c r="L410" s="61">
        <f t="shared" si="48"/>
        <v>0</v>
      </c>
      <c r="M410" s="192"/>
      <c r="N410" s="193"/>
      <c r="O410" s="192"/>
      <c r="P410" s="194"/>
      <c r="Q410" s="195"/>
      <c r="R410" s="196"/>
      <c r="S410" s="197"/>
      <c r="T410" s="62">
        <f t="shared" si="49"/>
        <v>0</v>
      </c>
      <c r="U410" s="63">
        <f t="shared" si="50"/>
        <v>0</v>
      </c>
      <c r="V410" s="145">
        <f t="shared" si="51"/>
        <v>0</v>
      </c>
      <c r="W410" s="198"/>
      <c r="X410" s="1379"/>
      <c r="Y410" s="1380"/>
      <c r="Z410" s="62">
        <f t="shared" si="52"/>
        <v>0</v>
      </c>
      <c r="AA410" s="146">
        <f t="shared" si="53"/>
        <v>0</v>
      </c>
      <c r="AB410" s="198"/>
      <c r="AC410" s="1379"/>
      <c r="AD410" s="1380"/>
      <c r="AE410" s="62">
        <f t="shared" si="54"/>
        <v>0</v>
      </c>
      <c r="AF410" s="148">
        <f t="shared" si="55"/>
        <v>0</v>
      </c>
      <c r="AG410" s="198"/>
      <c r="AH410" s="1379"/>
      <c r="AI410" s="1380"/>
      <c r="AJ410"/>
      <c r="AK410"/>
      <c r="AL410"/>
      <c r="AM410"/>
      <c r="AN410"/>
    </row>
    <row r="411" spans="1:40" s="66" customFormat="1" ht="14.5">
      <c r="A411" s="186"/>
      <c r="B411" s="187"/>
      <c r="C411" s="188"/>
      <c r="D411" s="188"/>
      <c r="E411" s="189"/>
      <c r="F411" s="190"/>
      <c r="G411" s="190"/>
      <c r="H411" s="189"/>
      <c r="I411" s="189"/>
      <c r="J411" s="191"/>
      <c r="K411" s="191"/>
      <c r="L411" s="61">
        <f t="shared" si="48"/>
        <v>0</v>
      </c>
      <c r="M411" s="192"/>
      <c r="N411" s="193"/>
      <c r="O411" s="192"/>
      <c r="P411" s="194"/>
      <c r="Q411" s="195"/>
      <c r="R411" s="196"/>
      <c r="S411" s="197"/>
      <c r="T411" s="62">
        <f t="shared" si="49"/>
        <v>0</v>
      </c>
      <c r="U411" s="63">
        <f t="shared" si="50"/>
        <v>0</v>
      </c>
      <c r="V411" s="145">
        <f t="shared" si="51"/>
        <v>0</v>
      </c>
      <c r="W411" s="198"/>
      <c r="X411" s="1379"/>
      <c r="Y411" s="1380"/>
      <c r="Z411" s="62">
        <f t="shared" si="52"/>
        <v>0</v>
      </c>
      <c r="AA411" s="146">
        <f t="shared" si="53"/>
        <v>0</v>
      </c>
      <c r="AB411" s="198"/>
      <c r="AC411" s="1379"/>
      <c r="AD411" s="1380"/>
      <c r="AE411" s="62">
        <f t="shared" si="54"/>
        <v>0</v>
      </c>
      <c r="AF411" s="148">
        <f t="shared" si="55"/>
        <v>0</v>
      </c>
      <c r="AG411" s="198"/>
      <c r="AH411" s="1379"/>
      <c r="AI411" s="1380"/>
      <c r="AJ411"/>
      <c r="AK411"/>
      <c r="AL411"/>
      <c r="AM411"/>
      <c r="AN411"/>
    </row>
    <row r="412" spans="1:40" s="66" customFormat="1" ht="14.5">
      <c r="A412" s="186"/>
      <c r="B412" s="187"/>
      <c r="C412" s="188"/>
      <c r="D412" s="188"/>
      <c r="E412" s="189"/>
      <c r="F412" s="190"/>
      <c r="G412" s="190"/>
      <c r="H412" s="189"/>
      <c r="I412" s="189"/>
      <c r="J412" s="191"/>
      <c r="K412" s="191"/>
      <c r="L412" s="61">
        <f t="shared" si="48"/>
        <v>0</v>
      </c>
      <c r="M412" s="192"/>
      <c r="N412" s="193"/>
      <c r="O412" s="192"/>
      <c r="P412" s="194"/>
      <c r="Q412" s="195"/>
      <c r="R412" s="196"/>
      <c r="S412" s="197"/>
      <c r="T412" s="62">
        <f t="shared" si="49"/>
        <v>0</v>
      </c>
      <c r="U412" s="63">
        <f t="shared" si="50"/>
        <v>0</v>
      </c>
      <c r="V412" s="145">
        <f t="shared" si="51"/>
        <v>0</v>
      </c>
      <c r="W412" s="198"/>
      <c r="X412" s="1379"/>
      <c r="Y412" s="1380"/>
      <c r="Z412" s="62">
        <f t="shared" si="52"/>
        <v>0</v>
      </c>
      <c r="AA412" s="146">
        <f t="shared" si="53"/>
        <v>0</v>
      </c>
      <c r="AB412" s="198"/>
      <c r="AC412" s="1379"/>
      <c r="AD412" s="1380"/>
      <c r="AE412" s="62">
        <f t="shared" si="54"/>
        <v>0</v>
      </c>
      <c r="AF412" s="148">
        <f t="shared" si="55"/>
        <v>0</v>
      </c>
      <c r="AG412" s="198"/>
      <c r="AH412" s="1379"/>
      <c r="AI412" s="1380"/>
      <c r="AJ412"/>
      <c r="AK412"/>
      <c r="AL412"/>
      <c r="AM412"/>
      <c r="AN412"/>
    </row>
    <row r="413" spans="1:40" s="66" customFormat="1" ht="14.5">
      <c r="A413" s="186"/>
      <c r="B413" s="187"/>
      <c r="C413" s="188"/>
      <c r="D413" s="188"/>
      <c r="E413" s="189"/>
      <c r="F413" s="190"/>
      <c r="G413" s="190"/>
      <c r="H413" s="189"/>
      <c r="I413" s="189"/>
      <c r="J413" s="191"/>
      <c r="K413" s="191"/>
      <c r="L413" s="61">
        <f t="shared" si="48"/>
        <v>0</v>
      </c>
      <c r="M413" s="192"/>
      <c r="N413" s="193"/>
      <c r="O413" s="192"/>
      <c r="P413" s="194"/>
      <c r="Q413" s="195"/>
      <c r="R413" s="196"/>
      <c r="S413" s="197"/>
      <c r="T413" s="62">
        <f t="shared" si="49"/>
        <v>0</v>
      </c>
      <c r="U413" s="63">
        <f t="shared" si="50"/>
        <v>0</v>
      </c>
      <c r="V413" s="145">
        <f t="shared" si="51"/>
        <v>0</v>
      </c>
      <c r="W413" s="198"/>
      <c r="X413" s="1379"/>
      <c r="Y413" s="1380"/>
      <c r="Z413" s="62">
        <f t="shared" si="52"/>
        <v>0</v>
      </c>
      <c r="AA413" s="146">
        <f t="shared" si="53"/>
        <v>0</v>
      </c>
      <c r="AB413" s="198"/>
      <c r="AC413" s="1379"/>
      <c r="AD413" s="1380"/>
      <c r="AE413" s="62">
        <f t="shared" si="54"/>
        <v>0</v>
      </c>
      <c r="AF413" s="148">
        <f t="shared" si="55"/>
        <v>0</v>
      </c>
      <c r="AG413" s="198"/>
      <c r="AH413" s="1379"/>
      <c r="AI413" s="1380"/>
      <c r="AJ413"/>
      <c r="AK413"/>
      <c r="AL413"/>
      <c r="AM413"/>
      <c r="AN413"/>
    </row>
    <row r="414" spans="1:40" s="66" customFormat="1" ht="14.5">
      <c r="A414" s="186"/>
      <c r="B414" s="187"/>
      <c r="C414" s="188"/>
      <c r="D414" s="188"/>
      <c r="E414" s="189"/>
      <c r="F414" s="190"/>
      <c r="G414" s="190"/>
      <c r="H414" s="189"/>
      <c r="I414" s="189"/>
      <c r="J414" s="191"/>
      <c r="K414" s="191"/>
      <c r="L414" s="61">
        <f t="shared" si="48"/>
        <v>0</v>
      </c>
      <c r="M414" s="192"/>
      <c r="N414" s="193"/>
      <c r="O414" s="192"/>
      <c r="P414" s="194"/>
      <c r="Q414" s="195"/>
      <c r="R414" s="196"/>
      <c r="S414" s="197"/>
      <c r="T414" s="62">
        <f t="shared" si="49"/>
        <v>0</v>
      </c>
      <c r="U414" s="63">
        <f t="shared" si="50"/>
        <v>0</v>
      </c>
      <c r="V414" s="145">
        <f t="shared" si="51"/>
        <v>0</v>
      </c>
      <c r="W414" s="198"/>
      <c r="X414" s="1379"/>
      <c r="Y414" s="1380"/>
      <c r="Z414" s="62">
        <f t="shared" si="52"/>
        <v>0</v>
      </c>
      <c r="AA414" s="146">
        <f t="shared" si="53"/>
        <v>0</v>
      </c>
      <c r="AB414" s="198"/>
      <c r="AC414" s="1379"/>
      <c r="AD414" s="1380"/>
      <c r="AE414" s="62">
        <f t="shared" si="54"/>
        <v>0</v>
      </c>
      <c r="AF414" s="148">
        <f t="shared" si="55"/>
        <v>0</v>
      </c>
      <c r="AG414" s="198"/>
      <c r="AH414" s="1379"/>
      <c r="AI414" s="1380"/>
      <c r="AJ414"/>
      <c r="AK414"/>
      <c r="AL414"/>
      <c r="AM414"/>
      <c r="AN414"/>
    </row>
    <row r="415" spans="1:40" s="66" customFormat="1" ht="14.5">
      <c r="A415" s="186"/>
      <c r="B415" s="187"/>
      <c r="C415" s="188"/>
      <c r="D415" s="188"/>
      <c r="E415" s="189"/>
      <c r="F415" s="190"/>
      <c r="G415" s="190"/>
      <c r="H415" s="189"/>
      <c r="I415" s="189"/>
      <c r="J415" s="191"/>
      <c r="K415" s="191"/>
      <c r="L415" s="61">
        <f t="shared" si="48"/>
        <v>0</v>
      </c>
      <c r="M415" s="192"/>
      <c r="N415" s="193"/>
      <c r="O415" s="192"/>
      <c r="P415" s="194"/>
      <c r="Q415" s="195"/>
      <c r="R415" s="196"/>
      <c r="S415" s="197"/>
      <c r="T415" s="62">
        <f t="shared" si="49"/>
        <v>0</v>
      </c>
      <c r="U415" s="63">
        <f t="shared" si="50"/>
        <v>0</v>
      </c>
      <c r="V415" s="145">
        <f t="shared" si="51"/>
        <v>0</v>
      </c>
      <c r="W415" s="198"/>
      <c r="X415" s="1379"/>
      <c r="Y415" s="1380"/>
      <c r="Z415" s="62">
        <f t="shared" si="52"/>
        <v>0</v>
      </c>
      <c r="AA415" s="146">
        <f t="shared" si="53"/>
        <v>0</v>
      </c>
      <c r="AB415" s="198"/>
      <c r="AC415" s="1379"/>
      <c r="AD415" s="1380"/>
      <c r="AE415" s="62">
        <f t="shared" si="54"/>
        <v>0</v>
      </c>
      <c r="AF415" s="148">
        <f t="shared" si="55"/>
        <v>0</v>
      </c>
      <c r="AG415" s="198"/>
      <c r="AH415" s="1379"/>
      <c r="AI415" s="1380"/>
      <c r="AJ415"/>
      <c r="AK415"/>
      <c r="AL415"/>
      <c r="AM415"/>
      <c r="AN415"/>
    </row>
    <row r="416" spans="1:40" s="66" customFormat="1" ht="14.5">
      <c r="A416" s="186"/>
      <c r="B416" s="187"/>
      <c r="C416" s="188"/>
      <c r="D416" s="188"/>
      <c r="E416" s="189"/>
      <c r="F416" s="190"/>
      <c r="G416" s="190"/>
      <c r="H416" s="189"/>
      <c r="I416" s="189"/>
      <c r="J416" s="191"/>
      <c r="K416" s="191"/>
      <c r="L416" s="61">
        <f t="shared" si="48"/>
        <v>0</v>
      </c>
      <c r="M416" s="192"/>
      <c r="N416" s="193"/>
      <c r="O416" s="192"/>
      <c r="P416" s="194"/>
      <c r="Q416" s="195"/>
      <c r="R416" s="196"/>
      <c r="S416" s="197"/>
      <c r="T416" s="62">
        <f t="shared" si="49"/>
        <v>0</v>
      </c>
      <c r="U416" s="63">
        <f t="shared" si="50"/>
        <v>0</v>
      </c>
      <c r="V416" s="145">
        <f t="shared" si="51"/>
        <v>0</v>
      </c>
      <c r="W416" s="198"/>
      <c r="X416" s="1379"/>
      <c r="Y416" s="1380"/>
      <c r="Z416" s="62">
        <f t="shared" si="52"/>
        <v>0</v>
      </c>
      <c r="AA416" s="146">
        <f t="shared" si="53"/>
        <v>0</v>
      </c>
      <c r="AB416" s="198"/>
      <c r="AC416" s="1379"/>
      <c r="AD416" s="1380"/>
      <c r="AE416" s="62">
        <f t="shared" si="54"/>
        <v>0</v>
      </c>
      <c r="AF416" s="148">
        <f t="shared" si="55"/>
        <v>0</v>
      </c>
      <c r="AG416" s="198"/>
      <c r="AH416" s="1379"/>
      <c r="AI416" s="1380"/>
      <c r="AJ416"/>
      <c r="AK416"/>
      <c r="AL416"/>
      <c r="AM416"/>
      <c r="AN416"/>
    </row>
    <row r="417" spans="1:40" s="66" customFormat="1" ht="14.5">
      <c r="A417" s="186"/>
      <c r="B417" s="187"/>
      <c r="C417" s="188"/>
      <c r="D417" s="188"/>
      <c r="E417" s="189"/>
      <c r="F417" s="190"/>
      <c r="G417" s="190"/>
      <c r="H417" s="189"/>
      <c r="I417" s="189"/>
      <c r="J417" s="191"/>
      <c r="K417" s="191"/>
      <c r="L417" s="61">
        <f t="shared" si="48"/>
        <v>0</v>
      </c>
      <c r="M417" s="192"/>
      <c r="N417" s="193"/>
      <c r="O417" s="192"/>
      <c r="P417" s="194"/>
      <c r="Q417" s="195"/>
      <c r="R417" s="196"/>
      <c r="S417" s="197"/>
      <c r="T417" s="62">
        <f t="shared" si="49"/>
        <v>0</v>
      </c>
      <c r="U417" s="63">
        <f t="shared" si="50"/>
        <v>0</v>
      </c>
      <c r="V417" s="145">
        <f t="shared" si="51"/>
        <v>0</v>
      </c>
      <c r="W417" s="198"/>
      <c r="X417" s="1379"/>
      <c r="Y417" s="1380"/>
      <c r="Z417" s="62">
        <f t="shared" si="52"/>
        <v>0</v>
      </c>
      <c r="AA417" s="146">
        <f t="shared" si="53"/>
        <v>0</v>
      </c>
      <c r="AB417" s="198"/>
      <c r="AC417" s="1379"/>
      <c r="AD417" s="1380"/>
      <c r="AE417" s="62">
        <f t="shared" si="54"/>
        <v>0</v>
      </c>
      <c r="AF417" s="148">
        <f t="shared" si="55"/>
        <v>0</v>
      </c>
      <c r="AG417" s="198"/>
      <c r="AH417" s="1379"/>
      <c r="AI417" s="1380"/>
      <c r="AJ417"/>
      <c r="AK417"/>
      <c r="AL417"/>
      <c r="AM417"/>
      <c r="AN417"/>
    </row>
    <row r="418" spans="1:40" s="66" customFormat="1" ht="14.5">
      <c r="A418" s="186"/>
      <c r="B418" s="187"/>
      <c r="C418" s="188"/>
      <c r="D418" s="188"/>
      <c r="E418" s="189"/>
      <c r="F418" s="190"/>
      <c r="G418" s="190"/>
      <c r="H418" s="189"/>
      <c r="I418" s="189"/>
      <c r="J418" s="191"/>
      <c r="K418" s="191"/>
      <c r="L418" s="61">
        <f t="shared" si="48"/>
        <v>0</v>
      </c>
      <c r="M418" s="192"/>
      <c r="N418" s="193"/>
      <c r="O418" s="192"/>
      <c r="P418" s="194"/>
      <c r="Q418" s="195"/>
      <c r="R418" s="196"/>
      <c r="S418" s="197"/>
      <c r="T418" s="62">
        <f t="shared" si="49"/>
        <v>0</v>
      </c>
      <c r="U418" s="63">
        <f t="shared" si="50"/>
        <v>0</v>
      </c>
      <c r="V418" s="145">
        <f t="shared" si="51"/>
        <v>0</v>
      </c>
      <c r="W418" s="198"/>
      <c r="X418" s="1379"/>
      <c r="Y418" s="1380"/>
      <c r="Z418" s="62">
        <f t="shared" si="52"/>
        <v>0</v>
      </c>
      <c r="AA418" s="146">
        <f t="shared" si="53"/>
        <v>0</v>
      </c>
      <c r="AB418" s="198"/>
      <c r="AC418" s="1379"/>
      <c r="AD418" s="1380"/>
      <c r="AE418" s="62">
        <f t="shared" si="54"/>
        <v>0</v>
      </c>
      <c r="AF418" s="148">
        <f t="shared" si="55"/>
        <v>0</v>
      </c>
      <c r="AG418" s="198"/>
      <c r="AH418" s="1379"/>
      <c r="AI418" s="1380"/>
      <c r="AJ418"/>
      <c r="AK418"/>
      <c r="AL418"/>
      <c r="AM418"/>
      <c r="AN418"/>
    </row>
    <row r="419" spans="1:40" s="66" customFormat="1" ht="14.5">
      <c r="A419" s="186"/>
      <c r="B419" s="187"/>
      <c r="C419" s="188"/>
      <c r="D419" s="188"/>
      <c r="E419" s="189"/>
      <c r="F419" s="190"/>
      <c r="G419" s="190"/>
      <c r="H419" s="189"/>
      <c r="I419" s="189"/>
      <c r="J419" s="191"/>
      <c r="K419" s="191"/>
      <c r="L419" s="61">
        <f t="shared" si="48"/>
        <v>0</v>
      </c>
      <c r="M419" s="192"/>
      <c r="N419" s="193"/>
      <c r="O419" s="192"/>
      <c r="P419" s="194"/>
      <c r="Q419" s="195"/>
      <c r="R419" s="196"/>
      <c r="S419" s="197"/>
      <c r="T419" s="62">
        <f t="shared" si="49"/>
        <v>0</v>
      </c>
      <c r="U419" s="63">
        <f t="shared" si="50"/>
        <v>0</v>
      </c>
      <c r="V419" s="145">
        <f t="shared" si="51"/>
        <v>0</v>
      </c>
      <c r="W419" s="198"/>
      <c r="X419" s="1379"/>
      <c r="Y419" s="1380"/>
      <c r="Z419" s="62">
        <f t="shared" si="52"/>
        <v>0</v>
      </c>
      <c r="AA419" s="146">
        <f t="shared" si="53"/>
        <v>0</v>
      </c>
      <c r="AB419" s="198"/>
      <c r="AC419" s="1379"/>
      <c r="AD419" s="1380"/>
      <c r="AE419" s="62">
        <f t="shared" si="54"/>
        <v>0</v>
      </c>
      <c r="AF419" s="148">
        <f t="shared" si="55"/>
        <v>0</v>
      </c>
      <c r="AG419" s="198"/>
      <c r="AH419" s="1379"/>
      <c r="AI419" s="1380"/>
      <c r="AJ419"/>
      <c r="AK419"/>
      <c r="AL419"/>
      <c r="AM419"/>
      <c r="AN419"/>
    </row>
    <row r="420" spans="1:40" s="66" customFormat="1" ht="14.5">
      <c r="A420" s="186"/>
      <c r="B420" s="187"/>
      <c r="C420" s="188"/>
      <c r="D420" s="188"/>
      <c r="E420" s="189"/>
      <c r="F420" s="190"/>
      <c r="G420" s="190"/>
      <c r="H420" s="189"/>
      <c r="I420" s="189"/>
      <c r="J420" s="191"/>
      <c r="K420" s="191"/>
      <c r="L420" s="61">
        <f t="shared" si="48"/>
        <v>0</v>
      </c>
      <c r="M420" s="192"/>
      <c r="N420" s="193"/>
      <c r="O420" s="192"/>
      <c r="P420" s="194"/>
      <c r="Q420" s="195"/>
      <c r="R420" s="196"/>
      <c r="S420" s="197"/>
      <c r="T420" s="62">
        <f t="shared" si="49"/>
        <v>0</v>
      </c>
      <c r="U420" s="63">
        <f t="shared" si="50"/>
        <v>0</v>
      </c>
      <c r="V420" s="145">
        <f t="shared" si="51"/>
        <v>0</v>
      </c>
      <c r="W420" s="198"/>
      <c r="X420" s="1379"/>
      <c r="Y420" s="1380"/>
      <c r="Z420" s="62">
        <f t="shared" si="52"/>
        <v>0</v>
      </c>
      <c r="AA420" s="146">
        <f t="shared" si="53"/>
        <v>0</v>
      </c>
      <c r="AB420" s="198"/>
      <c r="AC420" s="1379"/>
      <c r="AD420" s="1380"/>
      <c r="AE420" s="62">
        <f t="shared" si="54"/>
        <v>0</v>
      </c>
      <c r="AF420" s="148">
        <f t="shared" si="55"/>
        <v>0</v>
      </c>
      <c r="AG420" s="198"/>
      <c r="AH420" s="1379"/>
      <c r="AI420" s="1380"/>
      <c r="AJ420"/>
      <c r="AK420"/>
      <c r="AL420"/>
      <c r="AM420"/>
      <c r="AN420"/>
    </row>
    <row r="421" spans="1:40" s="66" customFormat="1" ht="14.5">
      <c r="A421" s="186"/>
      <c r="B421" s="187"/>
      <c r="C421" s="188"/>
      <c r="D421" s="188"/>
      <c r="E421" s="189"/>
      <c r="F421" s="190"/>
      <c r="G421" s="190"/>
      <c r="H421" s="189"/>
      <c r="I421" s="189"/>
      <c r="J421" s="191"/>
      <c r="K421" s="191"/>
      <c r="L421" s="61">
        <f t="shared" si="48"/>
        <v>0</v>
      </c>
      <c r="M421" s="192"/>
      <c r="N421" s="193"/>
      <c r="O421" s="192"/>
      <c r="P421" s="194"/>
      <c r="Q421" s="195"/>
      <c r="R421" s="196"/>
      <c r="S421" s="197"/>
      <c r="T421" s="62">
        <f t="shared" si="49"/>
        <v>0</v>
      </c>
      <c r="U421" s="63">
        <f t="shared" si="50"/>
        <v>0</v>
      </c>
      <c r="V421" s="145">
        <f t="shared" si="51"/>
        <v>0</v>
      </c>
      <c r="W421" s="198"/>
      <c r="X421" s="1379"/>
      <c r="Y421" s="1380"/>
      <c r="Z421" s="62">
        <f t="shared" si="52"/>
        <v>0</v>
      </c>
      <c r="AA421" s="146">
        <f t="shared" si="53"/>
        <v>0</v>
      </c>
      <c r="AB421" s="198"/>
      <c r="AC421" s="1379"/>
      <c r="AD421" s="1380"/>
      <c r="AE421" s="62">
        <f t="shared" si="54"/>
        <v>0</v>
      </c>
      <c r="AF421" s="148">
        <f t="shared" si="55"/>
        <v>0</v>
      </c>
      <c r="AG421" s="198"/>
      <c r="AH421" s="1379"/>
      <c r="AI421" s="1380"/>
      <c r="AJ421"/>
      <c r="AK421"/>
      <c r="AL421"/>
      <c r="AM421"/>
      <c r="AN421"/>
    </row>
    <row r="422" spans="1:40" s="66" customFormat="1" ht="14.5">
      <c r="A422" s="186"/>
      <c r="B422" s="187"/>
      <c r="C422" s="188"/>
      <c r="D422" s="188"/>
      <c r="E422" s="189"/>
      <c r="F422" s="190"/>
      <c r="G422" s="190"/>
      <c r="H422" s="189"/>
      <c r="I422" s="189"/>
      <c r="J422" s="191"/>
      <c r="K422" s="191"/>
      <c r="L422" s="61">
        <f t="shared" si="48"/>
        <v>0</v>
      </c>
      <c r="M422" s="192"/>
      <c r="N422" s="193"/>
      <c r="O422" s="192"/>
      <c r="P422" s="194"/>
      <c r="Q422" s="195"/>
      <c r="R422" s="196"/>
      <c r="S422" s="197"/>
      <c r="T422" s="62">
        <f t="shared" si="49"/>
        <v>0</v>
      </c>
      <c r="U422" s="63">
        <f t="shared" si="50"/>
        <v>0</v>
      </c>
      <c r="V422" s="145">
        <f t="shared" si="51"/>
        <v>0</v>
      </c>
      <c r="W422" s="198"/>
      <c r="X422" s="1379"/>
      <c r="Y422" s="1380"/>
      <c r="Z422" s="62">
        <f t="shared" si="52"/>
        <v>0</v>
      </c>
      <c r="AA422" s="146">
        <f t="shared" si="53"/>
        <v>0</v>
      </c>
      <c r="AB422" s="198"/>
      <c r="AC422" s="1379"/>
      <c r="AD422" s="1380"/>
      <c r="AE422" s="62">
        <f t="shared" si="54"/>
        <v>0</v>
      </c>
      <c r="AF422" s="148">
        <f t="shared" si="55"/>
        <v>0</v>
      </c>
      <c r="AG422" s="198"/>
      <c r="AH422" s="1379"/>
      <c r="AI422" s="1380"/>
      <c r="AJ422"/>
      <c r="AK422"/>
      <c r="AL422"/>
      <c r="AM422"/>
      <c r="AN422"/>
    </row>
    <row r="423" spans="1:40" s="66" customFormat="1" ht="14.5">
      <c r="A423" s="186"/>
      <c r="B423" s="187"/>
      <c r="C423" s="188"/>
      <c r="D423" s="188"/>
      <c r="E423" s="189"/>
      <c r="F423" s="190"/>
      <c r="G423" s="190"/>
      <c r="H423" s="189"/>
      <c r="I423" s="189"/>
      <c r="J423" s="191"/>
      <c r="K423" s="191"/>
      <c r="L423" s="61">
        <f t="shared" si="48"/>
        <v>0</v>
      </c>
      <c r="M423" s="192"/>
      <c r="N423" s="193"/>
      <c r="O423" s="192"/>
      <c r="P423" s="194"/>
      <c r="Q423" s="195"/>
      <c r="R423" s="196"/>
      <c r="S423" s="197"/>
      <c r="T423" s="62">
        <f t="shared" si="49"/>
        <v>0</v>
      </c>
      <c r="U423" s="63">
        <f t="shared" si="50"/>
        <v>0</v>
      </c>
      <c r="V423" s="145">
        <f t="shared" si="51"/>
        <v>0</v>
      </c>
      <c r="W423" s="198"/>
      <c r="X423" s="1379"/>
      <c r="Y423" s="1380"/>
      <c r="Z423" s="62">
        <f t="shared" si="52"/>
        <v>0</v>
      </c>
      <c r="AA423" s="146">
        <f t="shared" si="53"/>
        <v>0</v>
      </c>
      <c r="AB423" s="198"/>
      <c r="AC423" s="1379"/>
      <c r="AD423" s="1380"/>
      <c r="AE423" s="62">
        <f t="shared" si="54"/>
        <v>0</v>
      </c>
      <c r="AF423" s="148">
        <f t="shared" si="55"/>
        <v>0</v>
      </c>
      <c r="AG423" s="198"/>
      <c r="AH423" s="1379"/>
      <c r="AI423" s="1380"/>
      <c r="AJ423"/>
      <c r="AK423"/>
      <c r="AL423"/>
      <c r="AM423"/>
      <c r="AN423"/>
    </row>
    <row r="424" spans="1:40" s="66" customFormat="1" ht="14.5">
      <c r="A424" s="186"/>
      <c r="B424" s="187"/>
      <c r="C424" s="188"/>
      <c r="D424" s="188"/>
      <c r="E424" s="189"/>
      <c r="F424" s="190"/>
      <c r="G424" s="190"/>
      <c r="H424" s="189"/>
      <c r="I424" s="189"/>
      <c r="J424" s="191"/>
      <c r="K424" s="191"/>
      <c r="L424" s="61">
        <f t="shared" si="48"/>
        <v>0</v>
      </c>
      <c r="M424" s="192"/>
      <c r="N424" s="193"/>
      <c r="O424" s="192"/>
      <c r="P424" s="194"/>
      <c r="Q424" s="195"/>
      <c r="R424" s="196"/>
      <c r="S424" s="197"/>
      <c r="T424" s="62">
        <f t="shared" si="49"/>
        <v>0</v>
      </c>
      <c r="U424" s="63">
        <f t="shared" si="50"/>
        <v>0</v>
      </c>
      <c r="V424" s="145">
        <f t="shared" si="51"/>
        <v>0</v>
      </c>
      <c r="W424" s="198"/>
      <c r="X424" s="1379"/>
      <c r="Y424" s="1380"/>
      <c r="Z424" s="62">
        <f t="shared" si="52"/>
        <v>0</v>
      </c>
      <c r="AA424" s="146">
        <f t="shared" si="53"/>
        <v>0</v>
      </c>
      <c r="AB424" s="198"/>
      <c r="AC424" s="1379"/>
      <c r="AD424" s="1380"/>
      <c r="AE424" s="62">
        <f t="shared" si="54"/>
        <v>0</v>
      </c>
      <c r="AF424" s="148">
        <f t="shared" si="55"/>
        <v>0</v>
      </c>
      <c r="AG424" s="198"/>
      <c r="AH424" s="1379"/>
      <c r="AI424" s="1380"/>
      <c r="AJ424"/>
      <c r="AK424"/>
      <c r="AL424"/>
      <c r="AM424"/>
      <c r="AN424"/>
    </row>
    <row r="425" spans="1:40" s="66" customFormat="1" ht="14.5">
      <c r="A425" s="186"/>
      <c r="B425" s="187"/>
      <c r="C425" s="188"/>
      <c r="D425" s="188"/>
      <c r="E425" s="189"/>
      <c r="F425" s="190"/>
      <c r="G425" s="190"/>
      <c r="H425" s="189"/>
      <c r="I425" s="189"/>
      <c r="J425" s="191"/>
      <c r="K425" s="191"/>
      <c r="L425" s="61">
        <f t="shared" si="48"/>
        <v>0</v>
      </c>
      <c r="M425" s="192"/>
      <c r="N425" s="193"/>
      <c r="O425" s="192"/>
      <c r="P425" s="194"/>
      <c r="Q425" s="195"/>
      <c r="R425" s="196"/>
      <c r="S425" s="197"/>
      <c r="T425" s="62">
        <f t="shared" si="49"/>
        <v>0</v>
      </c>
      <c r="U425" s="63">
        <f t="shared" si="50"/>
        <v>0</v>
      </c>
      <c r="V425" s="145">
        <f t="shared" si="51"/>
        <v>0</v>
      </c>
      <c r="W425" s="198"/>
      <c r="X425" s="1379"/>
      <c r="Y425" s="1380"/>
      <c r="Z425" s="62">
        <f t="shared" si="52"/>
        <v>0</v>
      </c>
      <c r="AA425" s="146">
        <f t="shared" si="53"/>
        <v>0</v>
      </c>
      <c r="AB425" s="198"/>
      <c r="AC425" s="1379"/>
      <c r="AD425" s="1380"/>
      <c r="AE425" s="62">
        <f t="shared" si="54"/>
        <v>0</v>
      </c>
      <c r="AF425" s="148">
        <f t="shared" si="55"/>
        <v>0</v>
      </c>
      <c r="AG425" s="198"/>
      <c r="AH425" s="1379"/>
      <c r="AI425" s="1380"/>
      <c r="AJ425"/>
      <c r="AK425"/>
      <c r="AL425"/>
      <c r="AM425"/>
      <c r="AN425"/>
    </row>
    <row r="426" spans="1:40" s="66" customFormat="1" ht="14.5">
      <c r="A426" s="186"/>
      <c r="B426" s="187"/>
      <c r="C426" s="188"/>
      <c r="D426" s="188"/>
      <c r="E426" s="189"/>
      <c r="F426" s="190"/>
      <c r="G426" s="190"/>
      <c r="H426" s="189"/>
      <c r="I426" s="189"/>
      <c r="J426" s="191"/>
      <c r="K426" s="191"/>
      <c r="L426" s="61">
        <f t="shared" si="48"/>
        <v>0</v>
      </c>
      <c r="M426" s="192"/>
      <c r="N426" s="193"/>
      <c r="O426" s="192"/>
      <c r="P426" s="194"/>
      <c r="Q426" s="195"/>
      <c r="R426" s="196"/>
      <c r="S426" s="197"/>
      <c r="T426" s="62">
        <f t="shared" si="49"/>
        <v>0</v>
      </c>
      <c r="U426" s="63">
        <f t="shared" si="50"/>
        <v>0</v>
      </c>
      <c r="V426" s="145">
        <f t="shared" si="51"/>
        <v>0</v>
      </c>
      <c r="W426" s="198"/>
      <c r="X426" s="1379"/>
      <c r="Y426" s="1380"/>
      <c r="Z426" s="62">
        <f t="shared" si="52"/>
        <v>0</v>
      </c>
      <c r="AA426" s="146">
        <f t="shared" si="53"/>
        <v>0</v>
      </c>
      <c r="AB426" s="198"/>
      <c r="AC426" s="1379"/>
      <c r="AD426" s="1380"/>
      <c r="AE426" s="62">
        <f t="shared" si="54"/>
        <v>0</v>
      </c>
      <c r="AF426" s="148">
        <f t="shared" si="55"/>
        <v>0</v>
      </c>
      <c r="AG426" s="198"/>
      <c r="AH426" s="1379"/>
      <c r="AI426" s="1380"/>
      <c r="AJ426"/>
      <c r="AK426"/>
      <c r="AL426"/>
      <c r="AM426"/>
      <c r="AN426"/>
    </row>
    <row r="427" spans="1:40" s="66" customFormat="1" ht="14.5">
      <c r="A427" s="186"/>
      <c r="B427" s="187"/>
      <c r="C427" s="188"/>
      <c r="D427" s="188"/>
      <c r="E427" s="189"/>
      <c r="F427" s="190"/>
      <c r="G427" s="190"/>
      <c r="H427" s="189"/>
      <c r="I427" s="189"/>
      <c r="J427" s="191"/>
      <c r="K427" s="191"/>
      <c r="L427" s="61">
        <f t="shared" si="48"/>
        <v>0</v>
      </c>
      <c r="M427" s="192"/>
      <c r="N427" s="193"/>
      <c r="O427" s="192"/>
      <c r="P427" s="194"/>
      <c r="Q427" s="195"/>
      <c r="R427" s="196"/>
      <c r="S427" s="197"/>
      <c r="T427" s="62">
        <f t="shared" si="49"/>
        <v>0</v>
      </c>
      <c r="U427" s="63">
        <f t="shared" si="50"/>
        <v>0</v>
      </c>
      <c r="V427" s="145">
        <f t="shared" si="51"/>
        <v>0</v>
      </c>
      <c r="W427" s="198"/>
      <c r="X427" s="1379"/>
      <c r="Y427" s="1380"/>
      <c r="Z427" s="62">
        <f t="shared" si="52"/>
        <v>0</v>
      </c>
      <c r="AA427" s="146">
        <f t="shared" si="53"/>
        <v>0</v>
      </c>
      <c r="AB427" s="198"/>
      <c r="AC427" s="1379"/>
      <c r="AD427" s="1380"/>
      <c r="AE427" s="62">
        <f t="shared" si="54"/>
        <v>0</v>
      </c>
      <c r="AF427" s="148">
        <f t="shared" si="55"/>
        <v>0</v>
      </c>
      <c r="AG427" s="198"/>
      <c r="AH427" s="1379"/>
      <c r="AI427" s="1380"/>
      <c r="AJ427"/>
      <c r="AK427"/>
      <c r="AL427"/>
      <c r="AM427"/>
      <c r="AN427"/>
    </row>
    <row r="428" spans="1:40" s="66" customFormat="1" ht="14.5">
      <c r="A428" s="186"/>
      <c r="B428" s="187"/>
      <c r="C428" s="188"/>
      <c r="D428" s="188"/>
      <c r="E428" s="189"/>
      <c r="F428" s="190"/>
      <c r="G428" s="190"/>
      <c r="H428" s="189"/>
      <c r="I428" s="189"/>
      <c r="J428" s="191"/>
      <c r="K428" s="191"/>
      <c r="L428" s="61">
        <f t="shared" si="48"/>
        <v>0</v>
      </c>
      <c r="M428" s="192"/>
      <c r="N428" s="193"/>
      <c r="O428" s="192"/>
      <c r="P428" s="194"/>
      <c r="Q428" s="195"/>
      <c r="R428" s="196"/>
      <c r="S428" s="197"/>
      <c r="T428" s="62">
        <f t="shared" si="49"/>
        <v>0</v>
      </c>
      <c r="U428" s="63">
        <f t="shared" si="50"/>
        <v>0</v>
      </c>
      <c r="V428" s="145">
        <f t="shared" si="51"/>
        <v>0</v>
      </c>
      <c r="W428" s="198"/>
      <c r="X428" s="1379"/>
      <c r="Y428" s="1380"/>
      <c r="Z428" s="62">
        <f t="shared" si="52"/>
        <v>0</v>
      </c>
      <c r="AA428" s="146">
        <f t="shared" si="53"/>
        <v>0</v>
      </c>
      <c r="AB428" s="198"/>
      <c r="AC428" s="1379"/>
      <c r="AD428" s="1380"/>
      <c r="AE428" s="62">
        <f t="shared" si="54"/>
        <v>0</v>
      </c>
      <c r="AF428" s="148">
        <f t="shared" si="55"/>
        <v>0</v>
      </c>
      <c r="AG428" s="198"/>
      <c r="AH428" s="1379"/>
      <c r="AI428" s="1380"/>
      <c r="AJ428"/>
      <c r="AK428"/>
      <c r="AL428"/>
      <c r="AM428"/>
      <c r="AN428"/>
    </row>
    <row r="429" spans="1:40" s="66" customFormat="1" ht="14.5">
      <c r="A429" s="186"/>
      <c r="B429" s="187"/>
      <c r="C429" s="188"/>
      <c r="D429" s="188"/>
      <c r="E429" s="189"/>
      <c r="F429" s="190"/>
      <c r="G429" s="190"/>
      <c r="H429" s="189"/>
      <c r="I429" s="189"/>
      <c r="J429" s="191"/>
      <c r="K429" s="191"/>
      <c r="L429" s="61">
        <f t="shared" si="48"/>
        <v>0</v>
      </c>
      <c r="M429" s="192"/>
      <c r="N429" s="193"/>
      <c r="O429" s="192"/>
      <c r="P429" s="194"/>
      <c r="Q429" s="195"/>
      <c r="R429" s="196"/>
      <c r="S429" s="197"/>
      <c r="T429" s="62">
        <f t="shared" si="49"/>
        <v>0</v>
      </c>
      <c r="U429" s="63">
        <f t="shared" si="50"/>
        <v>0</v>
      </c>
      <c r="V429" s="145">
        <f t="shared" si="51"/>
        <v>0</v>
      </c>
      <c r="W429" s="198"/>
      <c r="X429" s="1379"/>
      <c r="Y429" s="1380"/>
      <c r="Z429" s="62">
        <f t="shared" si="52"/>
        <v>0</v>
      </c>
      <c r="AA429" s="146">
        <f t="shared" si="53"/>
        <v>0</v>
      </c>
      <c r="AB429" s="198"/>
      <c r="AC429" s="1379"/>
      <c r="AD429" s="1380"/>
      <c r="AE429" s="62">
        <f t="shared" si="54"/>
        <v>0</v>
      </c>
      <c r="AF429" s="148">
        <f t="shared" si="55"/>
        <v>0</v>
      </c>
      <c r="AG429" s="198"/>
      <c r="AH429" s="1379"/>
      <c r="AI429" s="1380"/>
      <c r="AJ429"/>
      <c r="AK429"/>
      <c r="AL429"/>
      <c r="AM429"/>
      <c r="AN429"/>
    </row>
    <row r="430" spans="1:40" s="66" customFormat="1" ht="14.5">
      <c r="A430" s="186"/>
      <c r="B430" s="187"/>
      <c r="C430" s="188"/>
      <c r="D430" s="188"/>
      <c r="E430" s="189"/>
      <c r="F430" s="190"/>
      <c r="G430" s="190"/>
      <c r="H430" s="189"/>
      <c r="I430" s="189"/>
      <c r="J430" s="191"/>
      <c r="K430" s="191"/>
      <c r="L430" s="61">
        <f t="shared" si="48"/>
        <v>0</v>
      </c>
      <c r="M430" s="192"/>
      <c r="N430" s="193"/>
      <c r="O430" s="192"/>
      <c r="P430" s="194"/>
      <c r="Q430" s="195"/>
      <c r="R430" s="196"/>
      <c r="S430" s="197"/>
      <c r="T430" s="62">
        <f t="shared" si="49"/>
        <v>0</v>
      </c>
      <c r="U430" s="63">
        <f t="shared" si="50"/>
        <v>0</v>
      </c>
      <c r="V430" s="145">
        <f t="shared" si="51"/>
        <v>0</v>
      </c>
      <c r="W430" s="198"/>
      <c r="X430" s="1379"/>
      <c r="Y430" s="1380"/>
      <c r="Z430" s="62">
        <f t="shared" si="52"/>
        <v>0</v>
      </c>
      <c r="AA430" s="146">
        <f t="shared" si="53"/>
        <v>0</v>
      </c>
      <c r="AB430" s="198"/>
      <c r="AC430" s="1379"/>
      <c r="AD430" s="1380"/>
      <c r="AE430" s="62">
        <f t="shared" si="54"/>
        <v>0</v>
      </c>
      <c r="AF430" s="148">
        <f t="shared" si="55"/>
        <v>0</v>
      </c>
      <c r="AG430" s="198"/>
      <c r="AH430" s="1379"/>
      <c r="AI430" s="1380"/>
      <c r="AJ430"/>
      <c r="AK430"/>
      <c r="AL430"/>
      <c r="AM430"/>
      <c r="AN430"/>
    </row>
    <row r="431" spans="1:40" s="66" customFormat="1" ht="14.5">
      <c r="A431" s="186"/>
      <c r="B431" s="187"/>
      <c r="C431" s="188"/>
      <c r="D431" s="188"/>
      <c r="E431" s="189"/>
      <c r="F431" s="190"/>
      <c r="G431" s="190"/>
      <c r="H431" s="189"/>
      <c r="I431" s="189"/>
      <c r="J431" s="191"/>
      <c r="K431" s="191"/>
      <c r="L431" s="61">
        <f t="shared" si="48"/>
        <v>0</v>
      </c>
      <c r="M431" s="192"/>
      <c r="N431" s="193"/>
      <c r="O431" s="192"/>
      <c r="P431" s="194"/>
      <c r="Q431" s="195"/>
      <c r="R431" s="196"/>
      <c r="S431" s="197"/>
      <c r="T431" s="62">
        <f t="shared" si="49"/>
        <v>0</v>
      </c>
      <c r="U431" s="63">
        <f t="shared" si="50"/>
        <v>0</v>
      </c>
      <c r="V431" s="145">
        <f t="shared" si="51"/>
        <v>0</v>
      </c>
      <c r="W431" s="198"/>
      <c r="X431" s="1379"/>
      <c r="Y431" s="1380"/>
      <c r="Z431" s="62">
        <f t="shared" si="52"/>
        <v>0</v>
      </c>
      <c r="AA431" s="146">
        <f t="shared" si="53"/>
        <v>0</v>
      </c>
      <c r="AB431" s="198"/>
      <c r="AC431" s="1379"/>
      <c r="AD431" s="1380"/>
      <c r="AE431" s="62">
        <f t="shared" si="54"/>
        <v>0</v>
      </c>
      <c r="AF431" s="148">
        <f t="shared" si="55"/>
        <v>0</v>
      </c>
      <c r="AG431" s="198"/>
      <c r="AH431" s="1379"/>
      <c r="AI431" s="1380"/>
      <c r="AJ431"/>
      <c r="AK431"/>
      <c r="AL431"/>
      <c r="AM431"/>
      <c r="AN431"/>
    </row>
    <row r="432" spans="1:40" s="66" customFormat="1" ht="14.5">
      <c r="A432" s="186"/>
      <c r="B432" s="187"/>
      <c r="C432" s="188"/>
      <c r="D432" s="188"/>
      <c r="E432" s="189"/>
      <c r="F432" s="190"/>
      <c r="G432" s="190"/>
      <c r="H432" s="189"/>
      <c r="I432" s="189"/>
      <c r="J432" s="191"/>
      <c r="K432" s="191"/>
      <c r="L432" s="61">
        <f t="shared" si="48"/>
        <v>0</v>
      </c>
      <c r="M432" s="192"/>
      <c r="N432" s="193"/>
      <c r="O432" s="192"/>
      <c r="P432" s="194"/>
      <c r="Q432" s="195"/>
      <c r="R432" s="196"/>
      <c r="S432" s="197"/>
      <c r="T432" s="62">
        <f t="shared" si="49"/>
        <v>0</v>
      </c>
      <c r="U432" s="63">
        <f t="shared" si="50"/>
        <v>0</v>
      </c>
      <c r="V432" s="145">
        <f t="shared" si="51"/>
        <v>0</v>
      </c>
      <c r="W432" s="198"/>
      <c r="X432" s="1379"/>
      <c r="Y432" s="1380"/>
      <c r="Z432" s="62">
        <f t="shared" si="52"/>
        <v>0</v>
      </c>
      <c r="AA432" s="146">
        <f t="shared" si="53"/>
        <v>0</v>
      </c>
      <c r="AB432" s="198"/>
      <c r="AC432" s="1379"/>
      <c r="AD432" s="1380"/>
      <c r="AE432" s="62">
        <f t="shared" si="54"/>
        <v>0</v>
      </c>
      <c r="AF432" s="148">
        <f t="shared" si="55"/>
        <v>0</v>
      </c>
      <c r="AG432" s="198"/>
      <c r="AH432" s="1379"/>
      <c r="AI432" s="1380"/>
      <c r="AJ432"/>
      <c r="AK432"/>
      <c r="AL432"/>
      <c r="AM432"/>
      <c r="AN432"/>
    </row>
    <row r="433" spans="1:40" s="66" customFormat="1" ht="14.5">
      <c r="A433" s="186"/>
      <c r="B433" s="187"/>
      <c r="C433" s="188"/>
      <c r="D433" s="188"/>
      <c r="E433" s="189"/>
      <c r="F433" s="190"/>
      <c r="G433" s="190"/>
      <c r="H433" s="189"/>
      <c r="I433" s="189"/>
      <c r="J433" s="191"/>
      <c r="K433" s="191"/>
      <c r="L433" s="61">
        <f t="shared" si="48"/>
        <v>0</v>
      </c>
      <c r="M433" s="192"/>
      <c r="N433" s="193"/>
      <c r="O433" s="192"/>
      <c r="P433" s="194"/>
      <c r="Q433" s="195"/>
      <c r="R433" s="196"/>
      <c r="S433" s="197"/>
      <c r="T433" s="62">
        <f t="shared" si="49"/>
        <v>0</v>
      </c>
      <c r="U433" s="63">
        <f t="shared" si="50"/>
        <v>0</v>
      </c>
      <c r="V433" s="145">
        <f t="shared" si="51"/>
        <v>0</v>
      </c>
      <c r="W433" s="198"/>
      <c r="X433" s="1379"/>
      <c r="Y433" s="1380"/>
      <c r="Z433" s="62">
        <f t="shared" si="52"/>
        <v>0</v>
      </c>
      <c r="AA433" s="146">
        <f t="shared" si="53"/>
        <v>0</v>
      </c>
      <c r="AB433" s="198"/>
      <c r="AC433" s="1379"/>
      <c r="AD433" s="1380"/>
      <c r="AE433" s="62">
        <f t="shared" si="54"/>
        <v>0</v>
      </c>
      <c r="AF433" s="148">
        <f t="shared" si="55"/>
        <v>0</v>
      </c>
      <c r="AG433" s="198"/>
      <c r="AH433" s="1379"/>
      <c r="AI433" s="1380"/>
      <c r="AJ433"/>
      <c r="AK433"/>
      <c r="AL433"/>
      <c r="AM433"/>
      <c r="AN433"/>
    </row>
    <row r="434" spans="1:40" s="66" customFormat="1" ht="14.5">
      <c r="A434" s="186"/>
      <c r="B434" s="187"/>
      <c r="C434" s="188"/>
      <c r="D434" s="188"/>
      <c r="E434" s="189"/>
      <c r="F434" s="190"/>
      <c r="G434" s="190"/>
      <c r="H434" s="189"/>
      <c r="I434" s="189"/>
      <c r="J434" s="191"/>
      <c r="K434" s="191"/>
      <c r="L434" s="61">
        <f t="shared" si="48"/>
        <v>0</v>
      </c>
      <c r="M434" s="192"/>
      <c r="N434" s="193"/>
      <c r="O434" s="192"/>
      <c r="P434" s="194"/>
      <c r="Q434" s="195"/>
      <c r="R434" s="196"/>
      <c r="S434" s="197"/>
      <c r="T434" s="62">
        <f t="shared" si="49"/>
        <v>0</v>
      </c>
      <c r="U434" s="63">
        <f t="shared" si="50"/>
        <v>0</v>
      </c>
      <c r="V434" s="145">
        <f t="shared" si="51"/>
        <v>0</v>
      </c>
      <c r="W434" s="198"/>
      <c r="X434" s="1379"/>
      <c r="Y434" s="1380"/>
      <c r="Z434" s="62">
        <f t="shared" si="52"/>
        <v>0</v>
      </c>
      <c r="AA434" s="146">
        <f t="shared" si="53"/>
        <v>0</v>
      </c>
      <c r="AB434" s="198"/>
      <c r="AC434" s="1379"/>
      <c r="AD434" s="1380"/>
      <c r="AE434" s="62">
        <f t="shared" si="54"/>
        <v>0</v>
      </c>
      <c r="AF434" s="148">
        <f t="shared" si="55"/>
        <v>0</v>
      </c>
      <c r="AG434" s="198"/>
      <c r="AH434" s="1379"/>
      <c r="AI434" s="1380"/>
      <c r="AJ434"/>
      <c r="AK434"/>
      <c r="AL434"/>
      <c r="AM434"/>
      <c r="AN434"/>
    </row>
    <row r="435" spans="1:40" s="66" customFormat="1" ht="14.5">
      <c r="A435" s="186"/>
      <c r="B435" s="187"/>
      <c r="C435" s="188"/>
      <c r="D435" s="188"/>
      <c r="E435" s="189"/>
      <c r="F435" s="190"/>
      <c r="G435" s="190"/>
      <c r="H435" s="189"/>
      <c r="I435" s="189"/>
      <c r="J435" s="191"/>
      <c r="K435" s="191"/>
      <c r="L435" s="61">
        <f t="shared" si="48"/>
        <v>0</v>
      </c>
      <c r="M435" s="192"/>
      <c r="N435" s="193"/>
      <c r="O435" s="192"/>
      <c r="P435" s="194"/>
      <c r="Q435" s="195"/>
      <c r="R435" s="196"/>
      <c r="S435" s="197"/>
      <c r="T435" s="62">
        <f t="shared" si="49"/>
        <v>0</v>
      </c>
      <c r="U435" s="63">
        <f t="shared" si="50"/>
        <v>0</v>
      </c>
      <c r="V435" s="145">
        <f t="shared" si="51"/>
        <v>0</v>
      </c>
      <c r="W435" s="198"/>
      <c r="X435" s="1379"/>
      <c r="Y435" s="1380"/>
      <c r="Z435" s="62">
        <f t="shared" si="52"/>
        <v>0</v>
      </c>
      <c r="AA435" s="146">
        <f t="shared" si="53"/>
        <v>0</v>
      </c>
      <c r="AB435" s="198"/>
      <c r="AC435" s="1379"/>
      <c r="AD435" s="1380"/>
      <c r="AE435" s="62">
        <f t="shared" si="54"/>
        <v>0</v>
      </c>
      <c r="AF435" s="148">
        <f t="shared" si="55"/>
        <v>0</v>
      </c>
      <c r="AG435" s="198"/>
      <c r="AH435" s="1379"/>
      <c r="AI435" s="1380"/>
      <c r="AJ435"/>
      <c r="AK435"/>
      <c r="AL435"/>
      <c r="AM435"/>
      <c r="AN435"/>
    </row>
    <row r="436" spans="1:40" s="66" customFormat="1" ht="14.5">
      <c r="A436" s="186"/>
      <c r="B436" s="187"/>
      <c r="C436" s="188"/>
      <c r="D436" s="188"/>
      <c r="E436" s="189"/>
      <c r="F436" s="190"/>
      <c r="G436" s="190"/>
      <c r="H436" s="189"/>
      <c r="I436" s="189"/>
      <c r="J436" s="191"/>
      <c r="K436" s="191"/>
      <c r="L436" s="61">
        <f t="shared" si="48"/>
        <v>0</v>
      </c>
      <c r="M436" s="192"/>
      <c r="N436" s="193"/>
      <c r="O436" s="192"/>
      <c r="P436" s="194"/>
      <c r="Q436" s="195"/>
      <c r="R436" s="196"/>
      <c r="S436" s="197"/>
      <c r="T436" s="62">
        <f t="shared" si="49"/>
        <v>0</v>
      </c>
      <c r="U436" s="63">
        <f t="shared" si="50"/>
        <v>0</v>
      </c>
      <c r="V436" s="145">
        <f t="shared" si="51"/>
        <v>0</v>
      </c>
      <c r="W436" s="198"/>
      <c r="X436" s="1379"/>
      <c r="Y436" s="1380"/>
      <c r="Z436" s="62">
        <f t="shared" si="52"/>
        <v>0</v>
      </c>
      <c r="AA436" s="146">
        <f t="shared" si="53"/>
        <v>0</v>
      </c>
      <c r="AB436" s="198"/>
      <c r="AC436" s="1379"/>
      <c r="AD436" s="1380"/>
      <c r="AE436" s="62">
        <f t="shared" si="54"/>
        <v>0</v>
      </c>
      <c r="AF436" s="148">
        <f t="shared" si="55"/>
        <v>0</v>
      </c>
      <c r="AG436" s="198"/>
      <c r="AH436" s="1379"/>
      <c r="AI436" s="1380"/>
      <c r="AJ436"/>
      <c r="AK436"/>
      <c r="AL436"/>
      <c r="AM436"/>
      <c r="AN436"/>
    </row>
    <row r="437" spans="1:40" s="66" customFormat="1" ht="14.5">
      <c r="A437" s="186"/>
      <c r="B437" s="187"/>
      <c r="C437" s="188"/>
      <c r="D437" s="188"/>
      <c r="E437" s="189"/>
      <c r="F437" s="190"/>
      <c r="G437" s="190"/>
      <c r="H437" s="189"/>
      <c r="I437" s="189"/>
      <c r="J437" s="191"/>
      <c r="K437" s="191"/>
      <c r="L437" s="61">
        <f t="shared" si="48"/>
        <v>0</v>
      </c>
      <c r="M437" s="192"/>
      <c r="N437" s="193"/>
      <c r="O437" s="192"/>
      <c r="P437" s="194"/>
      <c r="Q437" s="195"/>
      <c r="R437" s="196"/>
      <c r="S437" s="197"/>
      <c r="T437" s="62">
        <f t="shared" si="49"/>
        <v>0</v>
      </c>
      <c r="U437" s="63">
        <f t="shared" si="50"/>
        <v>0</v>
      </c>
      <c r="V437" s="145">
        <f t="shared" si="51"/>
        <v>0</v>
      </c>
      <c r="W437" s="198"/>
      <c r="X437" s="1379"/>
      <c r="Y437" s="1380"/>
      <c r="Z437" s="62">
        <f t="shared" si="52"/>
        <v>0</v>
      </c>
      <c r="AA437" s="146">
        <f t="shared" si="53"/>
        <v>0</v>
      </c>
      <c r="AB437" s="198"/>
      <c r="AC437" s="1379"/>
      <c r="AD437" s="1380"/>
      <c r="AE437" s="62">
        <f t="shared" si="54"/>
        <v>0</v>
      </c>
      <c r="AF437" s="148">
        <f t="shared" si="55"/>
        <v>0</v>
      </c>
      <c r="AG437" s="198"/>
      <c r="AH437" s="1379"/>
      <c r="AI437" s="1380"/>
      <c r="AJ437"/>
      <c r="AK437"/>
      <c r="AL437"/>
      <c r="AM437"/>
      <c r="AN437"/>
    </row>
    <row r="438" spans="1:40" s="66" customFormat="1" ht="14.5">
      <c r="A438" s="186"/>
      <c r="B438" s="187"/>
      <c r="C438" s="188"/>
      <c r="D438" s="188"/>
      <c r="E438" s="189"/>
      <c r="F438" s="190"/>
      <c r="G438" s="190"/>
      <c r="H438" s="189"/>
      <c r="I438" s="189"/>
      <c r="J438" s="191"/>
      <c r="K438" s="191"/>
      <c r="L438" s="61">
        <f t="shared" si="48"/>
        <v>0</v>
      </c>
      <c r="M438" s="192"/>
      <c r="N438" s="193"/>
      <c r="O438" s="192"/>
      <c r="P438" s="194"/>
      <c r="Q438" s="195"/>
      <c r="R438" s="196"/>
      <c r="S438" s="197"/>
      <c r="T438" s="62">
        <f t="shared" si="49"/>
        <v>0</v>
      </c>
      <c r="U438" s="63">
        <f t="shared" si="50"/>
        <v>0</v>
      </c>
      <c r="V438" s="145">
        <f t="shared" si="51"/>
        <v>0</v>
      </c>
      <c r="W438" s="198"/>
      <c r="X438" s="1379"/>
      <c r="Y438" s="1380"/>
      <c r="Z438" s="62">
        <f t="shared" si="52"/>
        <v>0</v>
      </c>
      <c r="AA438" s="146">
        <f t="shared" si="53"/>
        <v>0</v>
      </c>
      <c r="AB438" s="198"/>
      <c r="AC438" s="1379"/>
      <c r="AD438" s="1380"/>
      <c r="AE438" s="62">
        <f t="shared" si="54"/>
        <v>0</v>
      </c>
      <c r="AF438" s="148">
        <f t="shared" si="55"/>
        <v>0</v>
      </c>
      <c r="AG438" s="198"/>
      <c r="AH438" s="1379"/>
      <c r="AI438" s="1380"/>
      <c r="AJ438"/>
      <c r="AK438"/>
      <c r="AL438"/>
      <c r="AM438"/>
      <c r="AN438"/>
    </row>
    <row r="439" spans="1:40" s="66" customFormat="1" ht="14.5">
      <c r="A439" s="186"/>
      <c r="B439" s="187"/>
      <c r="C439" s="188"/>
      <c r="D439" s="188"/>
      <c r="E439" s="189"/>
      <c r="F439" s="190"/>
      <c r="G439" s="190"/>
      <c r="H439" s="189"/>
      <c r="I439" s="189"/>
      <c r="J439" s="191"/>
      <c r="K439" s="191"/>
      <c r="L439" s="61">
        <f t="shared" si="48"/>
        <v>0</v>
      </c>
      <c r="M439" s="192"/>
      <c r="N439" s="193"/>
      <c r="O439" s="192"/>
      <c r="P439" s="194"/>
      <c r="Q439" s="195"/>
      <c r="R439" s="196"/>
      <c r="S439" s="197"/>
      <c r="T439" s="62">
        <f t="shared" si="49"/>
        <v>0</v>
      </c>
      <c r="U439" s="63">
        <f t="shared" si="50"/>
        <v>0</v>
      </c>
      <c r="V439" s="145">
        <f t="shared" si="51"/>
        <v>0</v>
      </c>
      <c r="W439" s="198"/>
      <c r="X439" s="1379"/>
      <c r="Y439" s="1380"/>
      <c r="Z439" s="62">
        <f t="shared" si="52"/>
        <v>0</v>
      </c>
      <c r="AA439" s="146">
        <f t="shared" si="53"/>
        <v>0</v>
      </c>
      <c r="AB439" s="198"/>
      <c r="AC439" s="1379"/>
      <c r="AD439" s="1380"/>
      <c r="AE439" s="62">
        <f t="shared" si="54"/>
        <v>0</v>
      </c>
      <c r="AF439" s="148">
        <f t="shared" si="55"/>
        <v>0</v>
      </c>
      <c r="AG439" s="198"/>
      <c r="AH439" s="1379"/>
      <c r="AI439" s="1380"/>
      <c r="AJ439"/>
      <c r="AK439"/>
      <c r="AL439"/>
      <c r="AM439"/>
      <c r="AN439"/>
    </row>
    <row r="440" spans="1:40" s="66" customFormat="1" ht="14.5">
      <c r="A440" s="186"/>
      <c r="B440" s="187"/>
      <c r="C440" s="188"/>
      <c r="D440" s="188"/>
      <c r="E440" s="189"/>
      <c r="F440" s="190"/>
      <c r="G440" s="190"/>
      <c r="H440" s="189"/>
      <c r="I440" s="189"/>
      <c r="J440" s="191"/>
      <c r="K440" s="191"/>
      <c r="L440" s="61">
        <f t="shared" si="48"/>
        <v>0</v>
      </c>
      <c r="M440" s="192"/>
      <c r="N440" s="193"/>
      <c r="O440" s="192"/>
      <c r="P440" s="194"/>
      <c r="Q440" s="195"/>
      <c r="R440" s="196"/>
      <c r="S440" s="197"/>
      <c r="T440" s="62">
        <f t="shared" si="49"/>
        <v>0</v>
      </c>
      <c r="U440" s="63">
        <f t="shared" si="50"/>
        <v>0</v>
      </c>
      <c r="V440" s="145">
        <f t="shared" si="51"/>
        <v>0</v>
      </c>
      <c r="W440" s="198"/>
      <c r="X440" s="1379"/>
      <c r="Y440" s="1380"/>
      <c r="Z440" s="62">
        <f t="shared" si="52"/>
        <v>0</v>
      </c>
      <c r="AA440" s="146">
        <f t="shared" si="53"/>
        <v>0</v>
      </c>
      <c r="AB440" s="198"/>
      <c r="AC440" s="1379"/>
      <c r="AD440" s="1380"/>
      <c r="AE440" s="62">
        <f t="shared" si="54"/>
        <v>0</v>
      </c>
      <c r="AF440" s="148">
        <f t="shared" si="55"/>
        <v>0</v>
      </c>
      <c r="AG440" s="198"/>
      <c r="AH440" s="1379"/>
      <c r="AI440" s="1380"/>
      <c r="AJ440"/>
      <c r="AK440"/>
      <c r="AL440"/>
      <c r="AM440"/>
      <c r="AN440"/>
    </row>
    <row r="441" spans="1:40" s="66" customFormat="1" ht="14.5">
      <c r="A441" s="186"/>
      <c r="B441" s="187"/>
      <c r="C441" s="188"/>
      <c r="D441" s="188"/>
      <c r="E441" s="189"/>
      <c r="F441" s="190"/>
      <c r="G441" s="190"/>
      <c r="H441" s="189"/>
      <c r="I441" s="189"/>
      <c r="J441" s="191"/>
      <c r="K441" s="191"/>
      <c r="L441" s="61">
        <f t="shared" si="48"/>
        <v>0</v>
      </c>
      <c r="M441" s="192"/>
      <c r="N441" s="193"/>
      <c r="O441" s="192"/>
      <c r="P441" s="194"/>
      <c r="Q441" s="195"/>
      <c r="R441" s="196"/>
      <c r="S441" s="197"/>
      <c r="T441" s="62">
        <f t="shared" si="49"/>
        <v>0</v>
      </c>
      <c r="U441" s="63">
        <f t="shared" si="50"/>
        <v>0</v>
      </c>
      <c r="V441" s="145">
        <f t="shared" si="51"/>
        <v>0</v>
      </c>
      <c r="W441" s="198"/>
      <c r="X441" s="1379"/>
      <c r="Y441" s="1380"/>
      <c r="Z441" s="62">
        <f t="shared" si="52"/>
        <v>0</v>
      </c>
      <c r="AA441" s="146">
        <f t="shared" si="53"/>
        <v>0</v>
      </c>
      <c r="AB441" s="198"/>
      <c r="AC441" s="1379"/>
      <c r="AD441" s="1380"/>
      <c r="AE441" s="62">
        <f t="shared" si="54"/>
        <v>0</v>
      </c>
      <c r="AF441" s="148">
        <f t="shared" si="55"/>
        <v>0</v>
      </c>
      <c r="AG441" s="198"/>
      <c r="AH441" s="1379"/>
      <c r="AI441" s="1380"/>
      <c r="AJ441"/>
      <c r="AK441"/>
      <c r="AL441"/>
      <c r="AM441"/>
      <c r="AN441"/>
    </row>
    <row r="442" spans="1:40" s="66" customFormat="1" ht="14.5">
      <c r="A442" s="186"/>
      <c r="B442" s="187"/>
      <c r="C442" s="188"/>
      <c r="D442" s="188"/>
      <c r="E442" s="189"/>
      <c r="F442" s="190"/>
      <c r="G442" s="190"/>
      <c r="H442" s="189"/>
      <c r="I442" s="189"/>
      <c r="J442" s="191"/>
      <c r="K442" s="191"/>
      <c r="L442" s="61">
        <f t="shared" si="48"/>
        <v>0</v>
      </c>
      <c r="M442" s="192"/>
      <c r="N442" s="193"/>
      <c r="O442" s="192"/>
      <c r="P442" s="194"/>
      <c r="Q442" s="195"/>
      <c r="R442" s="196"/>
      <c r="S442" s="197"/>
      <c r="T442" s="62">
        <f t="shared" si="49"/>
        <v>0</v>
      </c>
      <c r="U442" s="63">
        <f t="shared" si="50"/>
        <v>0</v>
      </c>
      <c r="V442" s="145">
        <f t="shared" si="51"/>
        <v>0</v>
      </c>
      <c r="W442" s="198"/>
      <c r="X442" s="1379"/>
      <c r="Y442" s="1380"/>
      <c r="Z442" s="62">
        <f t="shared" si="52"/>
        <v>0</v>
      </c>
      <c r="AA442" s="146">
        <f t="shared" si="53"/>
        <v>0</v>
      </c>
      <c r="AB442" s="198"/>
      <c r="AC442" s="1379"/>
      <c r="AD442" s="1380"/>
      <c r="AE442" s="62">
        <f t="shared" si="54"/>
        <v>0</v>
      </c>
      <c r="AF442" s="148">
        <f t="shared" si="55"/>
        <v>0</v>
      </c>
      <c r="AG442" s="198"/>
      <c r="AH442" s="1379"/>
      <c r="AI442" s="1380"/>
      <c r="AJ442"/>
      <c r="AK442"/>
      <c r="AL442"/>
      <c r="AM442"/>
      <c r="AN442"/>
    </row>
    <row r="443" spans="1:40" s="66" customFormat="1" ht="14.5">
      <c r="A443" s="186"/>
      <c r="B443" s="187"/>
      <c r="C443" s="188"/>
      <c r="D443" s="188"/>
      <c r="E443" s="189"/>
      <c r="F443" s="190"/>
      <c r="G443" s="190"/>
      <c r="H443" s="189"/>
      <c r="I443" s="189"/>
      <c r="J443" s="191"/>
      <c r="K443" s="191"/>
      <c r="L443" s="61">
        <f t="shared" si="48"/>
        <v>0</v>
      </c>
      <c r="M443" s="192"/>
      <c r="N443" s="193"/>
      <c r="O443" s="192"/>
      <c r="P443" s="194"/>
      <c r="Q443" s="195"/>
      <c r="R443" s="196"/>
      <c r="S443" s="197"/>
      <c r="T443" s="62">
        <f t="shared" si="49"/>
        <v>0</v>
      </c>
      <c r="U443" s="63">
        <f t="shared" si="50"/>
        <v>0</v>
      </c>
      <c r="V443" s="145">
        <f t="shared" si="51"/>
        <v>0</v>
      </c>
      <c r="W443" s="198"/>
      <c r="X443" s="1379"/>
      <c r="Y443" s="1380"/>
      <c r="Z443" s="62">
        <f t="shared" si="52"/>
        <v>0</v>
      </c>
      <c r="AA443" s="146">
        <f t="shared" si="53"/>
        <v>0</v>
      </c>
      <c r="AB443" s="198"/>
      <c r="AC443" s="1379"/>
      <c r="AD443" s="1380"/>
      <c r="AE443" s="62">
        <f t="shared" si="54"/>
        <v>0</v>
      </c>
      <c r="AF443" s="148">
        <f t="shared" si="55"/>
        <v>0</v>
      </c>
      <c r="AG443" s="198"/>
      <c r="AH443" s="1379"/>
      <c r="AI443" s="1380"/>
      <c r="AJ443"/>
      <c r="AK443"/>
      <c r="AL443"/>
      <c r="AM443"/>
      <c r="AN443"/>
    </row>
    <row r="444" spans="1:40" s="66" customFormat="1" ht="14.5">
      <c r="A444" s="186"/>
      <c r="B444" s="187"/>
      <c r="C444" s="188"/>
      <c r="D444" s="188"/>
      <c r="E444" s="189"/>
      <c r="F444" s="190"/>
      <c r="G444" s="190"/>
      <c r="H444" s="189"/>
      <c r="I444" s="189"/>
      <c r="J444" s="191"/>
      <c r="K444" s="191"/>
      <c r="L444" s="61">
        <f t="shared" si="48"/>
        <v>0</v>
      </c>
      <c r="M444" s="192"/>
      <c r="N444" s="193"/>
      <c r="O444" s="192"/>
      <c r="P444" s="194"/>
      <c r="Q444" s="195"/>
      <c r="R444" s="196"/>
      <c r="S444" s="197"/>
      <c r="T444" s="62">
        <f t="shared" si="49"/>
        <v>0</v>
      </c>
      <c r="U444" s="63">
        <f t="shared" si="50"/>
        <v>0</v>
      </c>
      <c r="V444" s="145">
        <f t="shared" si="51"/>
        <v>0</v>
      </c>
      <c r="W444" s="198"/>
      <c r="X444" s="1379"/>
      <c r="Y444" s="1380"/>
      <c r="Z444" s="62">
        <f t="shared" si="52"/>
        <v>0</v>
      </c>
      <c r="AA444" s="146">
        <f t="shared" si="53"/>
        <v>0</v>
      </c>
      <c r="AB444" s="198"/>
      <c r="AC444" s="1379"/>
      <c r="AD444" s="1380"/>
      <c r="AE444" s="62">
        <f t="shared" si="54"/>
        <v>0</v>
      </c>
      <c r="AF444" s="148">
        <f t="shared" si="55"/>
        <v>0</v>
      </c>
      <c r="AG444" s="198"/>
      <c r="AH444" s="1379"/>
      <c r="AI444" s="1380"/>
      <c r="AJ444"/>
      <c r="AK444"/>
      <c r="AL444"/>
      <c r="AM444"/>
      <c r="AN444"/>
    </row>
    <row r="445" spans="1:40" s="66" customFormat="1" ht="14.5">
      <c r="A445" s="186"/>
      <c r="B445" s="187"/>
      <c r="C445" s="188"/>
      <c r="D445" s="188"/>
      <c r="E445" s="189"/>
      <c r="F445" s="190"/>
      <c r="G445" s="190"/>
      <c r="H445" s="189"/>
      <c r="I445" s="189"/>
      <c r="J445" s="191"/>
      <c r="K445" s="191"/>
      <c r="L445" s="61">
        <f t="shared" si="48"/>
        <v>0</v>
      </c>
      <c r="M445" s="192"/>
      <c r="N445" s="193"/>
      <c r="O445" s="192"/>
      <c r="P445" s="194"/>
      <c r="Q445" s="195"/>
      <c r="R445" s="196"/>
      <c r="S445" s="197"/>
      <c r="T445" s="62">
        <f t="shared" si="49"/>
        <v>0</v>
      </c>
      <c r="U445" s="63">
        <f t="shared" si="50"/>
        <v>0</v>
      </c>
      <c r="V445" s="145">
        <f t="shared" si="51"/>
        <v>0</v>
      </c>
      <c r="W445" s="198"/>
      <c r="X445" s="1379"/>
      <c r="Y445" s="1380"/>
      <c r="Z445" s="62">
        <f t="shared" si="52"/>
        <v>0</v>
      </c>
      <c r="AA445" s="146">
        <f t="shared" si="53"/>
        <v>0</v>
      </c>
      <c r="AB445" s="198"/>
      <c r="AC445" s="1379"/>
      <c r="AD445" s="1380"/>
      <c r="AE445" s="62">
        <f t="shared" si="54"/>
        <v>0</v>
      </c>
      <c r="AF445" s="148">
        <f t="shared" si="55"/>
        <v>0</v>
      </c>
      <c r="AG445" s="198"/>
      <c r="AH445" s="1379"/>
      <c r="AI445" s="1380"/>
      <c r="AJ445"/>
      <c r="AK445"/>
      <c r="AL445"/>
      <c r="AM445"/>
      <c r="AN445"/>
    </row>
    <row r="446" spans="1:40" s="66" customFormat="1" ht="14.5">
      <c r="A446" s="186"/>
      <c r="B446" s="187"/>
      <c r="C446" s="188"/>
      <c r="D446" s="188"/>
      <c r="E446" s="189"/>
      <c r="F446" s="190"/>
      <c r="G446" s="190"/>
      <c r="H446" s="189"/>
      <c r="I446" s="189"/>
      <c r="J446" s="191"/>
      <c r="K446" s="191"/>
      <c r="L446" s="61">
        <f t="shared" si="48"/>
        <v>0</v>
      </c>
      <c r="M446" s="192"/>
      <c r="N446" s="193"/>
      <c r="O446" s="192"/>
      <c r="P446" s="194"/>
      <c r="Q446" s="195"/>
      <c r="R446" s="196"/>
      <c r="S446" s="197"/>
      <c r="T446" s="62">
        <f t="shared" si="49"/>
        <v>0</v>
      </c>
      <c r="U446" s="63">
        <f t="shared" si="50"/>
        <v>0</v>
      </c>
      <c r="V446" s="145">
        <f t="shared" si="51"/>
        <v>0</v>
      </c>
      <c r="W446" s="198"/>
      <c r="X446" s="1379"/>
      <c r="Y446" s="1380"/>
      <c r="Z446" s="62">
        <f t="shared" si="52"/>
        <v>0</v>
      </c>
      <c r="AA446" s="146">
        <f t="shared" si="53"/>
        <v>0</v>
      </c>
      <c r="AB446" s="198"/>
      <c r="AC446" s="1379"/>
      <c r="AD446" s="1380"/>
      <c r="AE446" s="62">
        <f t="shared" si="54"/>
        <v>0</v>
      </c>
      <c r="AF446" s="148">
        <f t="shared" si="55"/>
        <v>0</v>
      </c>
      <c r="AG446" s="198"/>
      <c r="AH446" s="1379"/>
      <c r="AI446" s="1380"/>
      <c r="AJ446"/>
      <c r="AK446"/>
      <c r="AL446"/>
      <c r="AM446"/>
      <c r="AN446"/>
    </row>
    <row r="447" spans="1:40" s="66" customFormat="1" ht="14.5">
      <c r="A447" s="186"/>
      <c r="B447" s="187"/>
      <c r="C447" s="188"/>
      <c r="D447" s="188"/>
      <c r="E447" s="189"/>
      <c r="F447" s="190"/>
      <c r="G447" s="190"/>
      <c r="H447" s="189"/>
      <c r="I447" s="189"/>
      <c r="J447" s="191"/>
      <c r="K447" s="191"/>
      <c r="L447" s="61">
        <f t="shared" si="48"/>
        <v>0</v>
      </c>
      <c r="M447" s="192"/>
      <c r="N447" s="193"/>
      <c r="O447" s="192"/>
      <c r="P447" s="194"/>
      <c r="Q447" s="195"/>
      <c r="R447" s="196"/>
      <c r="S447" s="197"/>
      <c r="T447" s="62">
        <f t="shared" si="49"/>
        <v>0</v>
      </c>
      <c r="U447" s="63">
        <f t="shared" si="50"/>
        <v>0</v>
      </c>
      <c r="V447" s="145">
        <f t="shared" si="51"/>
        <v>0</v>
      </c>
      <c r="W447" s="198"/>
      <c r="X447" s="1379"/>
      <c r="Y447" s="1380"/>
      <c r="Z447" s="62">
        <f t="shared" si="52"/>
        <v>0</v>
      </c>
      <c r="AA447" s="146">
        <f t="shared" si="53"/>
        <v>0</v>
      </c>
      <c r="AB447" s="198"/>
      <c r="AC447" s="1379"/>
      <c r="AD447" s="1380"/>
      <c r="AE447" s="62">
        <f t="shared" si="54"/>
        <v>0</v>
      </c>
      <c r="AF447" s="148">
        <f t="shared" si="55"/>
        <v>0</v>
      </c>
      <c r="AG447" s="198"/>
      <c r="AH447" s="1379"/>
      <c r="AI447" s="1380"/>
      <c r="AJ447"/>
      <c r="AK447"/>
      <c r="AL447"/>
      <c r="AM447"/>
      <c r="AN447"/>
    </row>
    <row r="448" spans="1:40" s="66" customFormat="1" ht="14.5">
      <c r="A448" s="186"/>
      <c r="B448" s="187"/>
      <c r="C448" s="188"/>
      <c r="D448" s="188"/>
      <c r="E448" s="189"/>
      <c r="F448" s="190"/>
      <c r="G448" s="190"/>
      <c r="H448" s="189"/>
      <c r="I448" s="189"/>
      <c r="J448" s="191"/>
      <c r="K448" s="191"/>
      <c r="L448" s="61">
        <f t="shared" si="48"/>
        <v>0</v>
      </c>
      <c r="M448" s="192"/>
      <c r="N448" s="193"/>
      <c r="O448" s="192"/>
      <c r="P448" s="194"/>
      <c r="Q448" s="195"/>
      <c r="R448" s="196"/>
      <c r="S448" s="197"/>
      <c r="T448" s="62">
        <f t="shared" si="49"/>
        <v>0</v>
      </c>
      <c r="U448" s="63">
        <f t="shared" si="50"/>
        <v>0</v>
      </c>
      <c r="V448" s="145">
        <f t="shared" si="51"/>
        <v>0</v>
      </c>
      <c r="W448" s="198"/>
      <c r="X448" s="1379"/>
      <c r="Y448" s="1380"/>
      <c r="Z448" s="62">
        <f t="shared" si="52"/>
        <v>0</v>
      </c>
      <c r="AA448" s="146">
        <f t="shared" si="53"/>
        <v>0</v>
      </c>
      <c r="AB448" s="198"/>
      <c r="AC448" s="1379"/>
      <c r="AD448" s="1380"/>
      <c r="AE448" s="62">
        <f t="shared" si="54"/>
        <v>0</v>
      </c>
      <c r="AF448" s="148">
        <f t="shared" si="55"/>
        <v>0</v>
      </c>
      <c r="AG448" s="198"/>
      <c r="AH448" s="1379"/>
      <c r="AI448" s="1380"/>
      <c r="AJ448"/>
      <c r="AK448"/>
      <c r="AL448"/>
      <c r="AM448"/>
      <c r="AN448"/>
    </row>
    <row r="449" spans="1:40" s="66" customFormat="1" ht="14.5">
      <c r="A449" s="186"/>
      <c r="B449" s="187"/>
      <c r="C449" s="188"/>
      <c r="D449" s="188"/>
      <c r="E449" s="189"/>
      <c r="F449" s="190"/>
      <c r="G449" s="190"/>
      <c r="H449" s="189"/>
      <c r="I449" s="189"/>
      <c r="J449" s="191"/>
      <c r="K449" s="191"/>
      <c r="L449" s="61">
        <f t="shared" si="48"/>
        <v>0</v>
      </c>
      <c r="M449" s="192"/>
      <c r="N449" s="193"/>
      <c r="O449" s="192"/>
      <c r="P449" s="194"/>
      <c r="Q449" s="195"/>
      <c r="R449" s="196"/>
      <c r="S449" s="197"/>
      <c r="T449" s="62">
        <f t="shared" si="49"/>
        <v>0</v>
      </c>
      <c r="U449" s="63">
        <f t="shared" si="50"/>
        <v>0</v>
      </c>
      <c r="V449" s="145">
        <f t="shared" si="51"/>
        <v>0</v>
      </c>
      <c r="W449" s="198"/>
      <c r="X449" s="1379"/>
      <c r="Y449" s="1380"/>
      <c r="Z449" s="62">
        <f t="shared" si="52"/>
        <v>0</v>
      </c>
      <c r="AA449" s="146">
        <f t="shared" si="53"/>
        <v>0</v>
      </c>
      <c r="AB449" s="198"/>
      <c r="AC449" s="1379"/>
      <c r="AD449" s="1380"/>
      <c r="AE449" s="62">
        <f t="shared" si="54"/>
        <v>0</v>
      </c>
      <c r="AF449" s="148">
        <f t="shared" si="55"/>
        <v>0</v>
      </c>
      <c r="AG449" s="198"/>
      <c r="AH449" s="1379"/>
      <c r="AI449" s="1380"/>
      <c r="AJ449"/>
      <c r="AK449"/>
      <c r="AL449"/>
      <c r="AM449"/>
      <c r="AN449"/>
    </row>
    <row r="450" spans="1:40" s="66" customFormat="1" ht="14.5">
      <c r="A450" s="186"/>
      <c r="B450" s="187"/>
      <c r="C450" s="188"/>
      <c r="D450" s="188"/>
      <c r="E450" s="189"/>
      <c r="F450" s="190"/>
      <c r="G450" s="190"/>
      <c r="H450" s="189"/>
      <c r="I450" s="189"/>
      <c r="J450" s="191"/>
      <c r="K450" s="191"/>
      <c r="L450" s="61">
        <f t="shared" si="48"/>
        <v>0</v>
      </c>
      <c r="M450" s="192"/>
      <c r="N450" s="193"/>
      <c r="O450" s="192"/>
      <c r="P450" s="194"/>
      <c r="Q450" s="195"/>
      <c r="R450" s="196"/>
      <c r="S450" s="197"/>
      <c r="T450" s="62">
        <f t="shared" si="49"/>
        <v>0</v>
      </c>
      <c r="U450" s="63">
        <f t="shared" si="50"/>
        <v>0</v>
      </c>
      <c r="V450" s="145">
        <f t="shared" si="51"/>
        <v>0</v>
      </c>
      <c r="W450" s="198"/>
      <c r="X450" s="1379"/>
      <c r="Y450" s="1380"/>
      <c r="Z450" s="62">
        <f t="shared" si="52"/>
        <v>0</v>
      </c>
      <c r="AA450" s="146">
        <f t="shared" si="53"/>
        <v>0</v>
      </c>
      <c r="AB450" s="198"/>
      <c r="AC450" s="1379"/>
      <c r="AD450" s="1380"/>
      <c r="AE450" s="62">
        <f t="shared" si="54"/>
        <v>0</v>
      </c>
      <c r="AF450" s="148">
        <f t="shared" si="55"/>
        <v>0</v>
      </c>
      <c r="AG450" s="198"/>
      <c r="AH450" s="1379"/>
      <c r="AI450" s="1380"/>
      <c r="AJ450"/>
      <c r="AK450"/>
      <c r="AL450"/>
      <c r="AM450"/>
      <c r="AN450"/>
    </row>
    <row r="451" spans="1:40" s="66" customFormat="1" ht="14.5">
      <c r="A451" s="186"/>
      <c r="B451" s="187"/>
      <c r="C451" s="188"/>
      <c r="D451" s="188"/>
      <c r="E451" s="189"/>
      <c r="F451" s="190"/>
      <c r="G451" s="190"/>
      <c r="H451" s="189"/>
      <c r="I451" s="189"/>
      <c r="J451" s="191"/>
      <c r="K451" s="191"/>
      <c r="L451" s="61">
        <f t="shared" si="48"/>
        <v>0</v>
      </c>
      <c r="M451" s="192"/>
      <c r="N451" s="193"/>
      <c r="O451" s="192"/>
      <c r="P451" s="194"/>
      <c r="Q451" s="195"/>
      <c r="R451" s="196"/>
      <c r="S451" s="197"/>
      <c r="T451" s="62">
        <f t="shared" si="49"/>
        <v>0</v>
      </c>
      <c r="U451" s="63">
        <f t="shared" si="50"/>
        <v>0</v>
      </c>
      <c r="V451" s="145">
        <f t="shared" si="51"/>
        <v>0</v>
      </c>
      <c r="W451" s="198"/>
      <c r="X451" s="1379"/>
      <c r="Y451" s="1380"/>
      <c r="Z451" s="62">
        <f t="shared" si="52"/>
        <v>0</v>
      </c>
      <c r="AA451" s="146">
        <f t="shared" si="53"/>
        <v>0</v>
      </c>
      <c r="AB451" s="198"/>
      <c r="AC451" s="1379"/>
      <c r="AD451" s="1380"/>
      <c r="AE451" s="62">
        <f t="shared" si="54"/>
        <v>0</v>
      </c>
      <c r="AF451" s="148">
        <f t="shared" si="55"/>
        <v>0</v>
      </c>
      <c r="AG451" s="198"/>
      <c r="AH451" s="1379"/>
      <c r="AI451" s="1380"/>
      <c r="AJ451"/>
      <c r="AK451"/>
      <c r="AL451"/>
      <c r="AM451"/>
      <c r="AN451"/>
    </row>
    <row r="452" spans="1:40" s="66" customFormat="1" ht="14.5">
      <c r="A452" s="186"/>
      <c r="B452" s="187"/>
      <c r="C452" s="188"/>
      <c r="D452" s="188"/>
      <c r="E452" s="189"/>
      <c r="F452" s="190"/>
      <c r="G452" s="190"/>
      <c r="H452" s="189"/>
      <c r="I452" s="189"/>
      <c r="J452" s="191"/>
      <c r="K452" s="191"/>
      <c r="L452" s="61">
        <f t="shared" si="48"/>
        <v>0</v>
      </c>
      <c r="M452" s="192"/>
      <c r="N452" s="193"/>
      <c r="O452" s="192"/>
      <c r="P452" s="194"/>
      <c r="Q452" s="195"/>
      <c r="R452" s="196"/>
      <c r="S452" s="197"/>
      <c r="T452" s="62">
        <f t="shared" si="49"/>
        <v>0</v>
      </c>
      <c r="U452" s="63">
        <f t="shared" si="50"/>
        <v>0</v>
      </c>
      <c r="V452" s="145">
        <f t="shared" si="51"/>
        <v>0</v>
      </c>
      <c r="W452" s="198"/>
      <c r="X452" s="1379"/>
      <c r="Y452" s="1380"/>
      <c r="Z452" s="62">
        <f t="shared" si="52"/>
        <v>0</v>
      </c>
      <c r="AA452" s="146">
        <f t="shared" si="53"/>
        <v>0</v>
      </c>
      <c r="AB452" s="198"/>
      <c r="AC452" s="1379"/>
      <c r="AD452" s="1380"/>
      <c r="AE452" s="62">
        <f t="shared" si="54"/>
        <v>0</v>
      </c>
      <c r="AF452" s="148">
        <f t="shared" si="55"/>
        <v>0</v>
      </c>
      <c r="AG452" s="198"/>
      <c r="AH452" s="1379"/>
      <c r="AI452" s="1380"/>
      <c r="AJ452"/>
      <c r="AK452"/>
      <c r="AL452"/>
      <c r="AM452"/>
      <c r="AN452"/>
    </row>
    <row r="453" spans="1:40" s="66" customFormat="1" ht="14.5">
      <c r="A453" s="186"/>
      <c r="B453" s="187"/>
      <c r="C453" s="188"/>
      <c r="D453" s="188"/>
      <c r="E453" s="189"/>
      <c r="F453" s="190"/>
      <c r="G453" s="190"/>
      <c r="H453" s="189"/>
      <c r="I453" s="189"/>
      <c r="J453" s="191"/>
      <c r="K453" s="191"/>
      <c r="L453" s="61">
        <f t="shared" si="48"/>
        <v>0</v>
      </c>
      <c r="M453" s="192"/>
      <c r="N453" s="193"/>
      <c r="O453" s="192"/>
      <c r="P453" s="194"/>
      <c r="Q453" s="195"/>
      <c r="R453" s="196"/>
      <c r="S453" s="197"/>
      <c r="T453" s="62">
        <f t="shared" si="49"/>
        <v>0</v>
      </c>
      <c r="U453" s="63">
        <f t="shared" si="50"/>
        <v>0</v>
      </c>
      <c r="V453" s="145">
        <f t="shared" si="51"/>
        <v>0</v>
      </c>
      <c r="W453" s="198"/>
      <c r="X453" s="1379"/>
      <c r="Y453" s="1380"/>
      <c r="Z453" s="62">
        <f t="shared" si="52"/>
        <v>0</v>
      </c>
      <c r="AA453" s="146">
        <f t="shared" si="53"/>
        <v>0</v>
      </c>
      <c r="AB453" s="198"/>
      <c r="AC453" s="1379"/>
      <c r="AD453" s="1380"/>
      <c r="AE453" s="62">
        <f t="shared" si="54"/>
        <v>0</v>
      </c>
      <c r="AF453" s="148">
        <f t="shared" si="55"/>
        <v>0</v>
      </c>
      <c r="AG453" s="198"/>
      <c r="AH453" s="1379"/>
      <c r="AI453" s="1380"/>
      <c r="AJ453"/>
      <c r="AK453"/>
      <c r="AL453"/>
      <c r="AM453"/>
      <c r="AN453"/>
    </row>
    <row r="454" spans="1:40" s="66" customFormat="1" ht="14.5">
      <c r="A454" s="186"/>
      <c r="B454" s="187"/>
      <c r="C454" s="188"/>
      <c r="D454" s="188"/>
      <c r="E454" s="189"/>
      <c r="F454" s="190"/>
      <c r="G454" s="190"/>
      <c r="H454" s="189"/>
      <c r="I454" s="189"/>
      <c r="J454" s="191"/>
      <c r="K454" s="191"/>
      <c r="L454" s="61">
        <f t="shared" si="48"/>
        <v>0</v>
      </c>
      <c r="M454" s="192"/>
      <c r="N454" s="193"/>
      <c r="O454" s="192"/>
      <c r="P454" s="194"/>
      <c r="Q454" s="195"/>
      <c r="R454" s="196"/>
      <c r="S454" s="197"/>
      <c r="T454" s="62">
        <f t="shared" si="49"/>
        <v>0</v>
      </c>
      <c r="U454" s="63">
        <f t="shared" si="50"/>
        <v>0</v>
      </c>
      <c r="V454" s="145">
        <f t="shared" si="51"/>
        <v>0</v>
      </c>
      <c r="W454" s="198"/>
      <c r="X454" s="1379"/>
      <c r="Y454" s="1380"/>
      <c r="Z454" s="62">
        <f t="shared" si="52"/>
        <v>0</v>
      </c>
      <c r="AA454" s="146">
        <f t="shared" si="53"/>
        <v>0</v>
      </c>
      <c r="AB454" s="198"/>
      <c r="AC454" s="1379"/>
      <c r="AD454" s="1380"/>
      <c r="AE454" s="62">
        <f t="shared" si="54"/>
        <v>0</v>
      </c>
      <c r="AF454" s="148">
        <f t="shared" si="55"/>
        <v>0</v>
      </c>
      <c r="AG454" s="198"/>
      <c r="AH454" s="1379"/>
      <c r="AI454" s="1380"/>
      <c r="AJ454"/>
      <c r="AK454"/>
      <c r="AL454"/>
      <c r="AM454"/>
      <c r="AN454"/>
    </row>
    <row r="455" spans="1:40" s="66" customFormat="1" ht="14.5">
      <c r="A455" s="186"/>
      <c r="B455" s="187"/>
      <c r="C455" s="188"/>
      <c r="D455" s="188"/>
      <c r="E455" s="189"/>
      <c r="F455" s="190"/>
      <c r="G455" s="190"/>
      <c r="H455" s="189"/>
      <c r="I455" s="189"/>
      <c r="J455" s="191"/>
      <c r="K455" s="191"/>
      <c r="L455" s="61">
        <f t="shared" si="48"/>
        <v>0</v>
      </c>
      <c r="M455" s="192"/>
      <c r="N455" s="193"/>
      <c r="O455" s="192"/>
      <c r="P455" s="194"/>
      <c r="Q455" s="195"/>
      <c r="R455" s="196"/>
      <c r="S455" s="197"/>
      <c r="T455" s="62">
        <f t="shared" si="49"/>
        <v>0</v>
      </c>
      <c r="U455" s="63">
        <f t="shared" si="50"/>
        <v>0</v>
      </c>
      <c r="V455" s="145">
        <f t="shared" si="51"/>
        <v>0</v>
      </c>
      <c r="W455" s="198"/>
      <c r="X455" s="1379"/>
      <c r="Y455" s="1380"/>
      <c r="Z455" s="62">
        <f t="shared" si="52"/>
        <v>0</v>
      </c>
      <c r="AA455" s="146">
        <f t="shared" si="53"/>
        <v>0</v>
      </c>
      <c r="AB455" s="198"/>
      <c r="AC455" s="1379"/>
      <c r="AD455" s="1380"/>
      <c r="AE455" s="62">
        <f t="shared" si="54"/>
        <v>0</v>
      </c>
      <c r="AF455" s="148">
        <f t="shared" si="55"/>
        <v>0</v>
      </c>
      <c r="AG455" s="198"/>
      <c r="AH455" s="1379"/>
      <c r="AI455" s="1380"/>
      <c r="AJ455"/>
      <c r="AK455"/>
      <c r="AL455"/>
      <c r="AM455"/>
      <c r="AN455"/>
    </row>
    <row r="456" spans="1:40" s="66" customFormat="1" ht="14.5">
      <c r="A456" s="186"/>
      <c r="B456" s="187"/>
      <c r="C456" s="188"/>
      <c r="D456" s="188"/>
      <c r="E456" s="189"/>
      <c r="F456" s="190"/>
      <c r="G456" s="190"/>
      <c r="H456" s="189"/>
      <c r="I456" s="189"/>
      <c r="J456" s="191"/>
      <c r="K456" s="191"/>
      <c r="L456" s="61">
        <f t="shared" si="48"/>
        <v>0</v>
      </c>
      <c r="M456" s="192"/>
      <c r="N456" s="193"/>
      <c r="O456" s="192"/>
      <c r="P456" s="194"/>
      <c r="Q456" s="195"/>
      <c r="R456" s="196"/>
      <c r="S456" s="197"/>
      <c r="T456" s="62">
        <f t="shared" si="49"/>
        <v>0</v>
      </c>
      <c r="U456" s="63">
        <f t="shared" si="50"/>
        <v>0</v>
      </c>
      <c r="V456" s="145">
        <f t="shared" si="51"/>
        <v>0</v>
      </c>
      <c r="W456" s="198"/>
      <c r="X456" s="1379"/>
      <c r="Y456" s="1380"/>
      <c r="Z456" s="62">
        <f t="shared" si="52"/>
        <v>0</v>
      </c>
      <c r="AA456" s="146">
        <f t="shared" si="53"/>
        <v>0</v>
      </c>
      <c r="AB456" s="198"/>
      <c r="AC456" s="1379"/>
      <c r="AD456" s="1380"/>
      <c r="AE456" s="62">
        <f t="shared" si="54"/>
        <v>0</v>
      </c>
      <c r="AF456" s="148">
        <f t="shared" si="55"/>
        <v>0</v>
      </c>
      <c r="AG456" s="198"/>
      <c r="AH456" s="1379"/>
      <c r="AI456" s="1380"/>
      <c r="AJ456"/>
      <c r="AK456"/>
      <c r="AL456"/>
      <c r="AM456"/>
      <c r="AN456"/>
    </row>
    <row r="457" spans="1:40" s="66" customFormat="1" ht="14.5">
      <c r="A457" s="186"/>
      <c r="B457" s="187"/>
      <c r="C457" s="188"/>
      <c r="D457" s="188"/>
      <c r="E457" s="189"/>
      <c r="F457" s="190"/>
      <c r="G457" s="190"/>
      <c r="H457" s="189"/>
      <c r="I457" s="189"/>
      <c r="J457" s="191"/>
      <c r="K457" s="191"/>
      <c r="L457" s="61">
        <f t="shared" si="48"/>
        <v>0</v>
      </c>
      <c r="M457" s="192"/>
      <c r="N457" s="193"/>
      <c r="O457" s="192"/>
      <c r="P457" s="194"/>
      <c r="Q457" s="195"/>
      <c r="R457" s="196"/>
      <c r="S457" s="197"/>
      <c r="T457" s="62">
        <f t="shared" si="49"/>
        <v>0</v>
      </c>
      <c r="U457" s="63">
        <f t="shared" si="50"/>
        <v>0</v>
      </c>
      <c r="V457" s="145">
        <f t="shared" si="51"/>
        <v>0</v>
      </c>
      <c r="W457" s="198"/>
      <c r="X457" s="1379"/>
      <c r="Y457" s="1380"/>
      <c r="Z457" s="62">
        <f t="shared" si="52"/>
        <v>0</v>
      </c>
      <c r="AA457" s="146">
        <f t="shared" si="53"/>
        <v>0</v>
      </c>
      <c r="AB457" s="198"/>
      <c r="AC457" s="1379"/>
      <c r="AD457" s="1380"/>
      <c r="AE457" s="62">
        <f t="shared" si="54"/>
        <v>0</v>
      </c>
      <c r="AF457" s="148">
        <f t="shared" si="55"/>
        <v>0</v>
      </c>
      <c r="AG457" s="198"/>
      <c r="AH457" s="1379"/>
      <c r="AI457" s="1380"/>
      <c r="AJ457"/>
      <c r="AK457"/>
      <c r="AL457"/>
      <c r="AM457"/>
      <c r="AN457"/>
    </row>
    <row r="458" spans="1:40" s="66" customFormat="1" ht="14.5">
      <c r="A458" s="186"/>
      <c r="B458" s="187"/>
      <c r="C458" s="188"/>
      <c r="D458" s="188"/>
      <c r="E458" s="189"/>
      <c r="F458" s="190"/>
      <c r="G458" s="190"/>
      <c r="H458" s="189"/>
      <c r="I458" s="189"/>
      <c r="J458" s="191"/>
      <c r="K458" s="191"/>
      <c r="L458" s="61">
        <f t="shared" si="48"/>
        <v>0</v>
      </c>
      <c r="M458" s="192"/>
      <c r="N458" s="193"/>
      <c r="O458" s="192"/>
      <c r="P458" s="194"/>
      <c r="Q458" s="195"/>
      <c r="R458" s="196"/>
      <c r="S458" s="197"/>
      <c r="T458" s="62">
        <f t="shared" si="49"/>
        <v>0</v>
      </c>
      <c r="U458" s="63">
        <f t="shared" si="50"/>
        <v>0</v>
      </c>
      <c r="V458" s="145">
        <f t="shared" si="51"/>
        <v>0</v>
      </c>
      <c r="W458" s="198"/>
      <c r="X458" s="1379"/>
      <c r="Y458" s="1380"/>
      <c r="Z458" s="62">
        <f t="shared" si="52"/>
        <v>0</v>
      </c>
      <c r="AA458" s="146">
        <f t="shared" si="53"/>
        <v>0</v>
      </c>
      <c r="AB458" s="198"/>
      <c r="AC458" s="1379"/>
      <c r="AD458" s="1380"/>
      <c r="AE458" s="62">
        <f t="shared" si="54"/>
        <v>0</v>
      </c>
      <c r="AF458" s="148">
        <f t="shared" si="55"/>
        <v>0</v>
      </c>
      <c r="AG458" s="198"/>
      <c r="AH458" s="1379"/>
      <c r="AI458" s="1380"/>
      <c r="AJ458"/>
      <c r="AK458"/>
      <c r="AL458"/>
      <c r="AM458"/>
      <c r="AN458"/>
    </row>
    <row r="459" spans="1:40" s="66" customFormat="1" ht="14.5">
      <c r="A459" s="186"/>
      <c r="B459" s="187"/>
      <c r="C459" s="188"/>
      <c r="D459" s="188"/>
      <c r="E459" s="189"/>
      <c r="F459" s="190"/>
      <c r="G459" s="190"/>
      <c r="H459" s="189"/>
      <c r="I459" s="189"/>
      <c r="J459" s="191"/>
      <c r="K459" s="191"/>
      <c r="L459" s="61">
        <f t="shared" si="48"/>
        <v>0</v>
      </c>
      <c r="M459" s="192"/>
      <c r="N459" s="193"/>
      <c r="O459" s="192"/>
      <c r="P459" s="194"/>
      <c r="Q459" s="195"/>
      <c r="R459" s="196"/>
      <c r="S459" s="197"/>
      <c r="T459" s="62">
        <f t="shared" si="49"/>
        <v>0</v>
      </c>
      <c r="U459" s="63">
        <f t="shared" si="50"/>
        <v>0</v>
      </c>
      <c r="V459" s="145">
        <f t="shared" si="51"/>
        <v>0</v>
      </c>
      <c r="W459" s="198"/>
      <c r="X459" s="1379"/>
      <c r="Y459" s="1380"/>
      <c r="Z459" s="62">
        <f t="shared" si="52"/>
        <v>0</v>
      </c>
      <c r="AA459" s="146">
        <f t="shared" si="53"/>
        <v>0</v>
      </c>
      <c r="AB459" s="198"/>
      <c r="AC459" s="1379"/>
      <c r="AD459" s="1380"/>
      <c r="AE459" s="62">
        <f t="shared" si="54"/>
        <v>0</v>
      </c>
      <c r="AF459" s="148">
        <f t="shared" si="55"/>
        <v>0</v>
      </c>
      <c r="AG459" s="198"/>
      <c r="AH459" s="1379"/>
      <c r="AI459" s="1380"/>
      <c r="AJ459"/>
      <c r="AK459"/>
      <c r="AL459"/>
      <c r="AM459"/>
      <c r="AN459"/>
    </row>
    <row r="460" spans="1:40" s="66" customFormat="1" ht="14.5">
      <c r="A460" s="186"/>
      <c r="B460" s="187"/>
      <c r="C460" s="188"/>
      <c r="D460" s="188"/>
      <c r="E460" s="189"/>
      <c r="F460" s="190"/>
      <c r="G460" s="190"/>
      <c r="H460" s="189"/>
      <c r="I460" s="189"/>
      <c r="J460" s="191"/>
      <c r="K460" s="191"/>
      <c r="L460" s="61">
        <f t="shared" si="48"/>
        <v>0</v>
      </c>
      <c r="M460" s="192"/>
      <c r="N460" s="193"/>
      <c r="O460" s="192"/>
      <c r="P460" s="194"/>
      <c r="Q460" s="195"/>
      <c r="R460" s="196"/>
      <c r="S460" s="197"/>
      <c r="T460" s="62">
        <f t="shared" si="49"/>
        <v>0</v>
      </c>
      <c r="U460" s="63">
        <f t="shared" si="50"/>
        <v>0</v>
      </c>
      <c r="V460" s="145">
        <f t="shared" si="51"/>
        <v>0</v>
      </c>
      <c r="W460" s="198"/>
      <c r="X460" s="1379"/>
      <c r="Y460" s="1380"/>
      <c r="Z460" s="62">
        <f t="shared" si="52"/>
        <v>0</v>
      </c>
      <c r="AA460" s="146">
        <f t="shared" si="53"/>
        <v>0</v>
      </c>
      <c r="AB460" s="198"/>
      <c r="AC460" s="1379"/>
      <c r="AD460" s="1380"/>
      <c r="AE460" s="62">
        <f t="shared" si="54"/>
        <v>0</v>
      </c>
      <c r="AF460" s="148">
        <f t="shared" si="55"/>
        <v>0</v>
      </c>
      <c r="AG460" s="198"/>
      <c r="AH460" s="1379"/>
      <c r="AI460" s="1380"/>
      <c r="AJ460"/>
      <c r="AK460"/>
      <c r="AL460"/>
      <c r="AM460"/>
      <c r="AN460"/>
    </row>
    <row r="461" spans="1:40" s="66" customFormat="1" ht="14.5">
      <c r="A461" s="186"/>
      <c r="B461" s="187"/>
      <c r="C461" s="188"/>
      <c r="D461" s="188"/>
      <c r="E461" s="189"/>
      <c r="F461" s="190"/>
      <c r="G461" s="190"/>
      <c r="H461" s="189"/>
      <c r="I461" s="189"/>
      <c r="J461" s="191"/>
      <c r="K461" s="191"/>
      <c r="L461" s="61">
        <f t="shared" si="48"/>
        <v>0</v>
      </c>
      <c r="M461" s="192"/>
      <c r="N461" s="193"/>
      <c r="O461" s="192"/>
      <c r="P461" s="194"/>
      <c r="Q461" s="195"/>
      <c r="R461" s="196"/>
      <c r="S461" s="197"/>
      <c r="T461" s="62">
        <f t="shared" si="49"/>
        <v>0</v>
      </c>
      <c r="U461" s="63">
        <f t="shared" si="50"/>
        <v>0</v>
      </c>
      <c r="V461" s="145">
        <f t="shared" si="51"/>
        <v>0</v>
      </c>
      <c r="W461" s="198"/>
      <c r="X461" s="1379"/>
      <c r="Y461" s="1380"/>
      <c r="Z461" s="62">
        <f t="shared" si="52"/>
        <v>0</v>
      </c>
      <c r="AA461" s="146">
        <f t="shared" si="53"/>
        <v>0</v>
      </c>
      <c r="AB461" s="198"/>
      <c r="AC461" s="1379"/>
      <c r="AD461" s="1380"/>
      <c r="AE461" s="62">
        <f t="shared" si="54"/>
        <v>0</v>
      </c>
      <c r="AF461" s="148">
        <f t="shared" si="55"/>
        <v>0</v>
      </c>
      <c r="AG461" s="198"/>
      <c r="AH461" s="1379"/>
      <c r="AI461" s="1380"/>
      <c r="AJ461"/>
      <c r="AK461"/>
      <c r="AL461"/>
      <c r="AM461"/>
      <c r="AN461"/>
    </row>
    <row r="462" spans="1:40" s="66" customFormat="1" ht="14.5">
      <c r="A462" s="186"/>
      <c r="B462" s="187"/>
      <c r="C462" s="188"/>
      <c r="D462" s="188"/>
      <c r="E462" s="189"/>
      <c r="F462" s="190"/>
      <c r="G462" s="190"/>
      <c r="H462" s="189"/>
      <c r="I462" s="189"/>
      <c r="J462" s="191"/>
      <c r="K462" s="191"/>
      <c r="L462" s="61">
        <f t="shared" ref="L462:L513" si="56">IF(I462=0,0,(K462+J462)/I462)</f>
        <v>0</v>
      </c>
      <c r="M462" s="192"/>
      <c r="N462" s="193"/>
      <c r="O462" s="192"/>
      <c r="P462" s="194"/>
      <c r="Q462" s="195"/>
      <c r="R462" s="196"/>
      <c r="S462" s="197"/>
      <c r="T462" s="62">
        <f t="shared" ref="T462:T513" si="57">IF(S462=0,0,((S462*Q462)-Z462))</f>
        <v>0</v>
      </c>
      <c r="U462" s="63">
        <f t="shared" ref="U462:U513" si="58">+Q462-I462</f>
        <v>0</v>
      </c>
      <c r="V462" s="145">
        <f t="shared" ref="V462:V513" si="59">(T462-J462)</f>
        <v>0</v>
      </c>
      <c r="W462" s="198"/>
      <c r="X462" s="1379"/>
      <c r="Y462" s="1380"/>
      <c r="Z462" s="62">
        <f t="shared" ref="Z462:Z513" si="60">IF(I462=0,0,M462/H462*Q462)</f>
        <v>0</v>
      </c>
      <c r="AA462" s="146">
        <f t="shared" ref="AA462:AA513" si="61">+Z462-O462</f>
        <v>0</v>
      </c>
      <c r="AB462" s="198"/>
      <c r="AC462" s="1379"/>
      <c r="AD462" s="1380"/>
      <c r="AE462" s="62">
        <f t="shared" ref="AE462:AE513" si="62">IF(H462=0, 0, N462 / H462 * R462)</f>
        <v>0</v>
      </c>
      <c r="AF462" s="148">
        <f t="shared" ref="AF462:AF513" si="63">+AE462-P462</f>
        <v>0</v>
      </c>
      <c r="AG462" s="198"/>
      <c r="AH462" s="1379"/>
      <c r="AI462" s="1380"/>
      <c r="AJ462"/>
      <c r="AK462"/>
      <c r="AL462"/>
      <c r="AM462"/>
      <c r="AN462"/>
    </row>
    <row r="463" spans="1:40" s="66" customFormat="1" ht="14.5">
      <c r="A463" s="186"/>
      <c r="B463" s="187"/>
      <c r="C463" s="188"/>
      <c r="D463" s="188"/>
      <c r="E463" s="189"/>
      <c r="F463" s="190"/>
      <c r="G463" s="190"/>
      <c r="H463" s="189"/>
      <c r="I463" s="189"/>
      <c r="J463" s="191"/>
      <c r="K463" s="191"/>
      <c r="L463" s="61">
        <f t="shared" si="56"/>
        <v>0</v>
      </c>
      <c r="M463" s="192"/>
      <c r="N463" s="193"/>
      <c r="O463" s="192"/>
      <c r="P463" s="194"/>
      <c r="Q463" s="195"/>
      <c r="R463" s="196"/>
      <c r="S463" s="197"/>
      <c r="T463" s="62">
        <f t="shared" si="57"/>
        <v>0</v>
      </c>
      <c r="U463" s="63">
        <f t="shared" si="58"/>
        <v>0</v>
      </c>
      <c r="V463" s="145">
        <f t="shared" si="59"/>
        <v>0</v>
      </c>
      <c r="W463" s="198"/>
      <c r="X463" s="1379"/>
      <c r="Y463" s="1380"/>
      <c r="Z463" s="62">
        <f t="shared" si="60"/>
        <v>0</v>
      </c>
      <c r="AA463" s="146">
        <f t="shared" si="61"/>
        <v>0</v>
      </c>
      <c r="AB463" s="198"/>
      <c r="AC463" s="1379"/>
      <c r="AD463" s="1380"/>
      <c r="AE463" s="62">
        <f t="shared" si="62"/>
        <v>0</v>
      </c>
      <c r="AF463" s="148">
        <f t="shared" si="63"/>
        <v>0</v>
      </c>
      <c r="AG463" s="198"/>
      <c r="AH463" s="1379"/>
      <c r="AI463" s="1380"/>
      <c r="AJ463"/>
      <c r="AK463"/>
      <c r="AL463"/>
      <c r="AM463"/>
      <c r="AN463"/>
    </row>
    <row r="464" spans="1:40" s="66" customFormat="1" ht="14.5">
      <c r="A464" s="186"/>
      <c r="B464" s="187"/>
      <c r="C464" s="188"/>
      <c r="D464" s="188"/>
      <c r="E464" s="189"/>
      <c r="F464" s="190"/>
      <c r="G464" s="190"/>
      <c r="H464" s="189"/>
      <c r="I464" s="189"/>
      <c r="J464" s="191"/>
      <c r="K464" s="191"/>
      <c r="L464" s="61">
        <f t="shared" si="56"/>
        <v>0</v>
      </c>
      <c r="M464" s="192"/>
      <c r="N464" s="193"/>
      <c r="O464" s="192"/>
      <c r="P464" s="194"/>
      <c r="Q464" s="195"/>
      <c r="R464" s="196"/>
      <c r="S464" s="197"/>
      <c r="T464" s="62">
        <f t="shared" si="57"/>
        <v>0</v>
      </c>
      <c r="U464" s="63">
        <f t="shared" si="58"/>
        <v>0</v>
      </c>
      <c r="V464" s="145">
        <f t="shared" si="59"/>
        <v>0</v>
      </c>
      <c r="W464" s="198"/>
      <c r="X464" s="1379"/>
      <c r="Y464" s="1380"/>
      <c r="Z464" s="62">
        <f t="shared" si="60"/>
        <v>0</v>
      </c>
      <c r="AA464" s="146">
        <f t="shared" si="61"/>
        <v>0</v>
      </c>
      <c r="AB464" s="198"/>
      <c r="AC464" s="1379"/>
      <c r="AD464" s="1380"/>
      <c r="AE464" s="62">
        <f t="shared" si="62"/>
        <v>0</v>
      </c>
      <c r="AF464" s="148">
        <f t="shared" si="63"/>
        <v>0</v>
      </c>
      <c r="AG464" s="198"/>
      <c r="AH464" s="1379"/>
      <c r="AI464" s="1380"/>
      <c r="AJ464"/>
      <c r="AK464"/>
      <c r="AL464"/>
      <c r="AM464"/>
      <c r="AN464"/>
    </row>
    <row r="465" spans="1:40" s="66" customFormat="1" ht="14.5">
      <c r="A465" s="186"/>
      <c r="B465" s="187"/>
      <c r="C465" s="188"/>
      <c r="D465" s="188"/>
      <c r="E465" s="189"/>
      <c r="F465" s="190"/>
      <c r="G465" s="190"/>
      <c r="H465" s="189"/>
      <c r="I465" s="189"/>
      <c r="J465" s="191"/>
      <c r="K465" s="191"/>
      <c r="L465" s="61">
        <f t="shared" si="56"/>
        <v>0</v>
      </c>
      <c r="M465" s="192"/>
      <c r="N465" s="193"/>
      <c r="O465" s="192"/>
      <c r="P465" s="194"/>
      <c r="Q465" s="195"/>
      <c r="R465" s="196"/>
      <c r="S465" s="197"/>
      <c r="T465" s="62">
        <f t="shared" si="57"/>
        <v>0</v>
      </c>
      <c r="U465" s="63">
        <f t="shared" si="58"/>
        <v>0</v>
      </c>
      <c r="V465" s="145">
        <f t="shared" si="59"/>
        <v>0</v>
      </c>
      <c r="W465" s="198"/>
      <c r="X465" s="1379"/>
      <c r="Y465" s="1380"/>
      <c r="Z465" s="62">
        <f t="shared" si="60"/>
        <v>0</v>
      </c>
      <c r="AA465" s="146">
        <f t="shared" si="61"/>
        <v>0</v>
      </c>
      <c r="AB465" s="198"/>
      <c r="AC465" s="1379"/>
      <c r="AD465" s="1380"/>
      <c r="AE465" s="62">
        <f t="shared" si="62"/>
        <v>0</v>
      </c>
      <c r="AF465" s="148">
        <f t="shared" si="63"/>
        <v>0</v>
      </c>
      <c r="AG465" s="198"/>
      <c r="AH465" s="1379"/>
      <c r="AI465" s="1380"/>
      <c r="AJ465"/>
      <c r="AK465"/>
      <c r="AL465"/>
      <c r="AM465"/>
      <c r="AN465"/>
    </row>
    <row r="466" spans="1:40" s="66" customFormat="1" ht="14.5">
      <c r="A466" s="186"/>
      <c r="B466" s="187"/>
      <c r="C466" s="188"/>
      <c r="D466" s="188"/>
      <c r="E466" s="189"/>
      <c r="F466" s="190"/>
      <c r="G466" s="190"/>
      <c r="H466" s="189"/>
      <c r="I466" s="189"/>
      <c r="J466" s="191"/>
      <c r="K466" s="191"/>
      <c r="L466" s="61">
        <f t="shared" si="56"/>
        <v>0</v>
      </c>
      <c r="M466" s="192"/>
      <c r="N466" s="193"/>
      <c r="O466" s="192"/>
      <c r="P466" s="194"/>
      <c r="Q466" s="195"/>
      <c r="R466" s="196"/>
      <c r="S466" s="197"/>
      <c r="T466" s="62">
        <f t="shared" si="57"/>
        <v>0</v>
      </c>
      <c r="U466" s="63">
        <f t="shared" si="58"/>
        <v>0</v>
      </c>
      <c r="V466" s="145">
        <f t="shared" si="59"/>
        <v>0</v>
      </c>
      <c r="W466" s="198"/>
      <c r="X466" s="1379"/>
      <c r="Y466" s="1380"/>
      <c r="Z466" s="62">
        <f t="shared" si="60"/>
        <v>0</v>
      </c>
      <c r="AA466" s="146">
        <f t="shared" si="61"/>
        <v>0</v>
      </c>
      <c r="AB466" s="198"/>
      <c r="AC466" s="1379"/>
      <c r="AD466" s="1380"/>
      <c r="AE466" s="62">
        <f t="shared" si="62"/>
        <v>0</v>
      </c>
      <c r="AF466" s="148">
        <f t="shared" si="63"/>
        <v>0</v>
      </c>
      <c r="AG466" s="198"/>
      <c r="AH466" s="1379"/>
      <c r="AI466" s="1380"/>
      <c r="AJ466"/>
      <c r="AK466"/>
      <c r="AL466"/>
      <c r="AM466"/>
      <c r="AN466"/>
    </row>
    <row r="467" spans="1:40" s="66" customFormat="1" ht="14.5">
      <c r="A467" s="186"/>
      <c r="B467" s="187"/>
      <c r="C467" s="188"/>
      <c r="D467" s="188"/>
      <c r="E467" s="189"/>
      <c r="F467" s="190"/>
      <c r="G467" s="190"/>
      <c r="H467" s="189"/>
      <c r="I467" s="189"/>
      <c r="J467" s="191"/>
      <c r="K467" s="191"/>
      <c r="L467" s="61">
        <f t="shared" si="56"/>
        <v>0</v>
      </c>
      <c r="M467" s="192"/>
      <c r="N467" s="193"/>
      <c r="O467" s="192"/>
      <c r="P467" s="194"/>
      <c r="Q467" s="195"/>
      <c r="R467" s="196"/>
      <c r="S467" s="197"/>
      <c r="T467" s="62">
        <f t="shared" si="57"/>
        <v>0</v>
      </c>
      <c r="U467" s="63">
        <f t="shared" si="58"/>
        <v>0</v>
      </c>
      <c r="V467" s="145">
        <f t="shared" si="59"/>
        <v>0</v>
      </c>
      <c r="W467" s="198"/>
      <c r="X467" s="1379"/>
      <c r="Y467" s="1380"/>
      <c r="Z467" s="62">
        <f t="shared" si="60"/>
        <v>0</v>
      </c>
      <c r="AA467" s="146">
        <f t="shared" si="61"/>
        <v>0</v>
      </c>
      <c r="AB467" s="198"/>
      <c r="AC467" s="1379"/>
      <c r="AD467" s="1380"/>
      <c r="AE467" s="62">
        <f t="shared" si="62"/>
        <v>0</v>
      </c>
      <c r="AF467" s="148">
        <f t="shared" si="63"/>
        <v>0</v>
      </c>
      <c r="AG467" s="198"/>
      <c r="AH467" s="1379"/>
      <c r="AI467" s="1380"/>
      <c r="AJ467"/>
      <c r="AK467"/>
      <c r="AL467"/>
      <c r="AM467"/>
      <c r="AN467"/>
    </row>
    <row r="468" spans="1:40" s="66" customFormat="1" ht="14.5">
      <c r="A468" s="186"/>
      <c r="B468" s="187"/>
      <c r="C468" s="188"/>
      <c r="D468" s="188"/>
      <c r="E468" s="189"/>
      <c r="F468" s="190"/>
      <c r="G468" s="190"/>
      <c r="H468" s="189"/>
      <c r="I468" s="189"/>
      <c r="J468" s="191"/>
      <c r="K468" s="191"/>
      <c r="L468" s="61">
        <f t="shared" si="56"/>
        <v>0</v>
      </c>
      <c r="M468" s="192"/>
      <c r="N468" s="193"/>
      <c r="O468" s="192"/>
      <c r="P468" s="194"/>
      <c r="Q468" s="195"/>
      <c r="R468" s="196"/>
      <c r="S468" s="197"/>
      <c r="T468" s="62">
        <f t="shared" si="57"/>
        <v>0</v>
      </c>
      <c r="U468" s="63">
        <f t="shared" si="58"/>
        <v>0</v>
      </c>
      <c r="V468" s="145">
        <f t="shared" si="59"/>
        <v>0</v>
      </c>
      <c r="W468" s="198"/>
      <c r="X468" s="1379"/>
      <c r="Y468" s="1380"/>
      <c r="Z468" s="62">
        <f t="shared" si="60"/>
        <v>0</v>
      </c>
      <c r="AA468" s="146">
        <f t="shared" si="61"/>
        <v>0</v>
      </c>
      <c r="AB468" s="198"/>
      <c r="AC468" s="1379"/>
      <c r="AD468" s="1380"/>
      <c r="AE468" s="62">
        <f t="shared" si="62"/>
        <v>0</v>
      </c>
      <c r="AF468" s="148">
        <f t="shared" si="63"/>
        <v>0</v>
      </c>
      <c r="AG468" s="198"/>
      <c r="AH468" s="1379"/>
      <c r="AI468" s="1380"/>
      <c r="AJ468"/>
      <c r="AK468"/>
      <c r="AL468"/>
      <c r="AM468"/>
      <c r="AN468"/>
    </row>
    <row r="469" spans="1:40" s="66" customFormat="1" ht="14.5">
      <c r="A469" s="186"/>
      <c r="B469" s="187"/>
      <c r="C469" s="188"/>
      <c r="D469" s="188"/>
      <c r="E469" s="189"/>
      <c r="F469" s="190"/>
      <c r="G469" s="190"/>
      <c r="H469" s="189"/>
      <c r="I469" s="189"/>
      <c r="J469" s="191"/>
      <c r="K469" s="191"/>
      <c r="L469" s="61">
        <f t="shared" si="56"/>
        <v>0</v>
      </c>
      <c r="M469" s="192"/>
      <c r="N469" s="193"/>
      <c r="O469" s="192"/>
      <c r="P469" s="194"/>
      <c r="Q469" s="195"/>
      <c r="R469" s="196"/>
      <c r="S469" s="197"/>
      <c r="T469" s="62">
        <f t="shared" si="57"/>
        <v>0</v>
      </c>
      <c r="U469" s="63">
        <f t="shared" si="58"/>
        <v>0</v>
      </c>
      <c r="V469" s="145">
        <f t="shared" si="59"/>
        <v>0</v>
      </c>
      <c r="W469" s="198"/>
      <c r="X469" s="1379"/>
      <c r="Y469" s="1380"/>
      <c r="Z469" s="62">
        <f t="shared" si="60"/>
        <v>0</v>
      </c>
      <c r="AA469" s="146">
        <f t="shared" si="61"/>
        <v>0</v>
      </c>
      <c r="AB469" s="198"/>
      <c r="AC469" s="1379"/>
      <c r="AD469" s="1380"/>
      <c r="AE469" s="62">
        <f t="shared" si="62"/>
        <v>0</v>
      </c>
      <c r="AF469" s="148">
        <f t="shared" si="63"/>
        <v>0</v>
      </c>
      <c r="AG469" s="198"/>
      <c r="AH469" s="1379"/>
      <c r="AI469" s="1380"/>
      <c r="AJ469"/>
      <c r="AK469"/>
      <c r="AL469"/>
      <c r="AM469"/>
      <c r="AN469"/>
    </row>
    <row r="470" spans="1:40" s="66" customFormat="1" ht="14.5">
      <c r="A470" s="186"/>
      <c r="B470" s="187"/>
      <c r="C470" s="188"/>
      <c r="D470" s="188"/>
      <c r="E470" s="189"/>
      <c r="F470" s="190"/>
      <c r="G470" s="190"/>
      <c r="H470" s="189"/>
      <c r="I470" s="189"/>
      <c r="J470" s="191"/>
      <c r="K470" s="191"/>
      <c r="L470" s="61">
        <f t="shared" si="56"/>
        <v>0</v>
      </c>
      <c r="M470" s="192"/>
      <c r="N470" s="193"/>
      <c r="O470" s="192"/>
      <c r="P470" s="194"/>
      <c r="Q470" s="195"/>
      <c r="R470" s="196"/>
      <c r="S470" s="197"/>
      <c r="T470" s="62">
        <f t="shared" si="57"/>
        <v>0</v>
      </c>
      <c r="U470" s="63">
        <f t="shared" si="58"/>
        <v>0</v>
      </c>
      <c r="V470" s="145">
        <f t="shared" si="59"/>
        <v>0</v>
      </c>
      <c r="W470" s="198"/>
      <c r="X470" s="1379"/>
      <c r="Y470" s="1380"/>
      <c r="Z470" s="62">
        <f t="shared" si="60"/>
        <v>0</v>
      </c>
      <c r="AA470" s="146">
        <f t="shared" si="61"/>
        <v>0</v>
      </c>
      <c r="AB470" s="198"/>
      <c r="AC470" s="1379"/>
      <c r="AD470" s="1380"/>
      <c r="AE470" s="62">
        <f t="shared" si="62"/>
        <v>0</v>
      </c>
      <c r="AF470" s="148">
        <f t="shared" si="63"/>
        <v>0</v>
      </c>
      <c r="AG470" s="198"/>
      <c r="AH470" s="1379"/>
      <c r="AI470" s="1380"/>
      <c r="AJ470"/>
      <c r="AK470"/>
      <c r="AL470"/>
      <c r="AM470"/>
      <c r="AN470"/>
    </row>
    <row r="471" spans="1:40" s="66" customFormat="1" ht="14.5">
      <c r="A471" s="186"/>
      <c r="B471" s="187"/>
      <c r="C471" s="188"/>
      <c r="D471" s="188"/>
      <c r="E471" s="189"/>
      <c r="F471" s="190"/>
      <c r="G471" s="190"/>
      <c r="H471" s="189"/>
      <c r="I471" s="189"/>
      <c r="J471" s="191"/>
      <c r="K471" s="191"/>
      <c r="L471" s="61">
        <f t="shared" si="56"/>
        <v>0</v>
      </c>
      <c r="M471" s="192"/>
      <c r="N471" s="193"/>
      <c r="O471" s="192"/>
      <c r="P471" s="194"/>
      <c r="Q471" s="195"/>
      <c r="R471" s="196"/>
      <c r="S471" s="197"/>
      <c r="T471" s="62">
        <f t="shared" si="57"/>
        <v>0</v>
      </c>
      <c r="U471" s="63">
        <f t="shared" si="58"/>
        <v>0</v>
      </c>
      <c r="V471" s="145">
        <f t="shared" si="59"/>
        <v>0</v>
      </c>
      <c r="W471" s="198"/>
      <c r="X471" s="1379"/>
      <c r="Y471" s="1380"/>
      <c r="Z471" s="62">
        <f t="shared" si="60"/>
        <v>0</v>
      </c>
      <c r="AA471" s="146">
        <f t="shared" si="61"/>
        <v>0</v>
      </c>
      <c r="AB471" s="198"/>
      <c r="AC471" s="1379"/>
      <c r="AD471" s="1380"/>
      <c r="AE471" s="62">
        <f t="shared" si="62"/>
        <v>0</v>
      </c>
      <c r="AF471" s="148">
        <f t="shared" si="63"/>
        <v>0</v>
      </c>
      <c r="AG471" s="198"/>
      <c r="AH471" s="1379"/>
      <c r="AI471" s="1380"/>
      <c r="AJ471"/>
      <c r="AK471"/>
      <c r="AL471"/>
      <c r="AM471"/>
      <c r="AN471"/>
    </row>
    <row r="472" spans="1:40" s="66" customFormat="1" ht="14.5">
      <c r="A472" s="186"/>
      <c r="B472" s="187"/>
      <c r="C472" s="188"/>
      <c r="D472" s="188"/>
      <c r="E472" s="189"/>
      <c r="F472" s="190"/>
      <c r="G472" s="190"/>
      <c r="H472" s="189"/>
      <c r="I472" s="189"/>
      <c r="J472" s="191"/>
      <c r="K472" s="191"/>
      <c r="L472" s="61">
        <f t="shared" si="56"/>
        <v>0</v>
      </c>
      <c r="M472" s="192"/>
      <c r="N472" s="193"/>
      <c r="O472" s="192"/>
      <c r="P472" s="194"/>
      <c r="Q472" s="195"/>
      <c r="R472" s="196"/>
      <c r="S472" s="197"/>
      <c r="T472" s="62">
        <f t="shared" si="57"/>
        <v>0</v>
      </c>
      <c r="U472" s="63">
        <f t="shared" si="58"/>
        <v>0</v>
      </c>
      <c r="V472" s="145">
        <f t="shared" si="59"/>
        <v>0</v>
      </c>
      <c r="W472" s="198"/>
      <c r="X472" s="1379"/>
      <c r="Y472" s="1380"/>
      <c r="Z472" s="62">
        <f t="shared" si="60"/>
        <v>0</v>
      </c>
      <c r="AA472" s="146">
        <f t="shared" si="61"/>
        <v>0</v>
      </c>
      <c r="AB472" s="198"/>
      <c r="AC472" s="1379"/>
      <c r="AD472" s="1380"/>
      <c r="AE472" s="62">
        <f t="shared" si="62"/>
        <v>0</v>
      </c>
      <c r="AF472" s="148">
        <f t="shared" si="63"/>
        <v>0</v>
      </c>
      <c r="AG472" s="198"/>
      <c r="AH472" s="1379"/>
      <c r="AI472" s="1380"/>
      <c r="AJ472"/>
      <c r="AK472"/>
      <c r="AL472"/>
      <c r="AM472"/>
      <c r="AN472"/>
    </row>
    <row r="473" spans="1:40" s="66" customFormat="1" ht="14.5">
      <c r="A473" s="186"/>
      <c r="B473" s="187"/>
      <c r="C473" s="188"/>
      <c r="D473" s="188"/>
      <c r="E473" s="189"/>
      <c r="F473" s="190"/>
      <c r="G473" s="190"/>
      <c r="H473" s="189"/>
      <c r="I473" s="189"/>
      <c r="J473" s="191"/>
      <c r="K473" s="191"/>
      <c r="L473" s="61">
        <f t="shared" si="56"/>
        <v>0</v>
      </c>
      <c r="M473" s="192"/>
      <c r="N473" s="193"/>
      <c r="O473" s="192"/>
      <c r="P473" s="194"/>
      <c r="Q473" s="195"/>
      <c r="R473" s="196"/>
      <c r="S473" s="197"/>
      <c r="T473" s="62">
        <f t="shared" si="57"/>
        <v>0</v>
      </c>
      <c r="U473" s="63">
        <f t="shared" si="58"/>
        <v>0</v>
      </c>
      <c r="V473" s="145">
        <f t="shared" si="59"/>
        <v>0</v>
      </c>
      <c r="W473" s="198"/>
      <c r="X473" s="1379"/>
      <c r="Y473" s="1380"/>
      <c r="Z473" s="62">
        <f t="shared" si="60"/>
        <v>0</v>
      </c>
      <c r="AA473" s="146">
        <f t="shared" si="61"/>
        <v>0</v>
      </c>
      <c r="AB473" s="198"/>
      <c r="AC473" s="1379"/>
      <c r="AD473" s="1380"/>
      <c r="AE473" s="62">
        <f t="shared" si="62"/>
        <v>0</v>
      </c>
      <c r="AF473" s="148">
        <f t="shared" si="63"/>
        <v>0</v>
      </c>
      <c r="AG473" s="198"/>
      <c r="AH473" s="1379"/>
      <c r="AI473" s="1380"/>
      <c r="AJ473"/>
      <c r="AK473"/>
      <c r="AL473"/>
      <c r="AM473"/>
      <c r="AN473"/>
    </row>
    <row r="474" spans="1:40" s="66" customFormat="1" ht="14.5">
      <c r="A474" s="186"/>
      <c r="B474" s="187"/>
      <c r="C474" s="188"/>
      <c r="D474" s="188"/>
      <c r="E474" s="189"/>
      <c r="F474" s="190"/>
      <c r="G474" s="190"/>
      <c r="H474" s="189"/>
      <c r="I474" s="189"/>
      <c r="J474" s="191"/>
      <c r="K474" s="191"/>
      <c r="L474" s="61">
        <f t="shared" si="56"/>
        <v>0</v>
      </c>
      <c r="M474" s="192"/>
      <c r="N474" s="193"/>
      <c r="O474" s="192"/>
      <c r="P474" s="194"/>
      <c r="Q474" s="195"/>
      <c r="R474" s="196"/>
      <c r="S474" s="197"/>
      <c r="T474" s="62">
        <f t="shared" si="57"/>
        <v>0</v>
      </c>
      <c r="U474" s="63">
        <f t="shared" si="58"/>
        <v>0</v>
      </c>
      <c r="V474" s="145">
        <f t="shared" si="59"/>
        <v>0</v>
      </c>
      <c r="W474" s="198"/>
      <c r="X474" s="1379"/>
      <c r="Y474" s="1380"/>
      <c r="Z474" s="62">
        <f t="shared" si="60"/>
        <v>0</v>
      </c>
      <c r="AA474" s="146">
        <f t="shared" si="61"/>
        <v>0</v>
      </c>
      <c r="AB474" s="198"/>
      <c r="AC474" s="1379"/>
      <c r="AD474" s="1380"/>
      <c r="AE474" s="62">
        <f t="shared" si="62"/>
        <v>0</v>
      </c>
      <c r="AF474" s="148">
        <f t="shared" si="63"/>
        <v>0</v>
      </c>
      <c r="AG474" s="198"/>
      <c r="AH474" s="1379"/>
      <c r="AI474" s="1380"/>
      <c r="AJ474"/>
      <c r="AK474"/>
      <c r="AL474"/>
      <c r="AM474"/>
      <c r="AN474"/>
    </row>
    <row r="475" spans="1:40" s="66" customFormat="1" ht="14.5">
      <c r="A475" s="186"/>
      <c r="B475" s="187"/>
      <c r="C475" s="188"/>
      <c r="D475" s="188"/>
      <c r="E475" s="189"/>
      <c r="F475" s="190"/>
      <c r="G475" s="190"/>
      <c r="H475" s="189"/>
      <c r="I475" s="189"/>
      <c r="J475" s="191"/>
      <c r="K475" s="191"/>
      <c r="L475" s="61">
        <f t="shared" si="56"/>
        <v>0</v>
      </c>
      <c r="M475" s="192"/>
      <c r="N475" s="193"/>
      <c r="O475" s="192"/>
      <c r="P475" s="194"/>
      <c r="Q475" s="195"/>
      <c r="R475" s="196"/>
      <c r="S475" s="197"/>
      <c r="T475" s="62">
        <f t="shared" si="57"/>
        <v>0</v>
      </c>
      <c r="U475" s="63">
        <f t="shared" si="58"/>
        <v>0</v>
      </c>
      <c r="V475" s="145">
        <f t="shared" si="59"/>
        <v>0</v>
      </c>
      <c r="W475" s="198"/>
      <c r="X475" s="1379"/>
      <c r="Y475" s="1380"/>
      <c r="Z475" s="62">
        <f t="shared" si="60"/>
        <v>0</v>
      </c>
      <c r="AA475" s="146">
        <f t="shared" si="61"/>
        <v>0</v>
      </c>
      <c r="AB475" s="198"/>
      <c r="AC475" s="1379"/>
      <c r="AD475" s="1380"/>
      <c r="AE475" s="62">
        <f t="shared" si="62"/>
        <v>0</v>
      </c>
      <c r="AF475" s="148">
        <f t="shared" si="63"/>
        <v>0</v>
      </c>
      <c r="AG475" s="198"/>
      <c r="AH475" s="1379"/>
      <c r="AI475" s="1380"/>
      <c r="AJ475"/>
      <c r="AK475"/>
      <c r="AL475"/>
      <c r="AM475"/>
      <c r="AN475"/>
    </row>
    <row r="476" spans="1:40" s="66" customFormat="1" ht="14.5">
      <c r="A476" s="186"/>
      <c r="B476" s="187"/>
      <c r="C476" s="188"/>
      <c r="D476" s="188"/>
      <c r="E476" s="189"/>
      <c r="F476" s="190"/>
      <c r="G476" s="190"/>
      <c r="H476" s="189"/>
      <c r="I476" s="189"/>
      <c r="J476" s="191"/>
      <c r="K476" s="191"/>
      <c r="L476" s="61">
        <f t="shared" si="56"/>
        <v>0</v>
      </c>
      <c r="M476" s="192"/>
      <c r="N476" s="193"/>
      <c r="O476" s="192"/>
      <c r="P476" s="194"/>
      <c r="Q476" s="195"/>
      <c r="R476" s="196"/>
      <c r="S476" s="197"/>
      <c r="T476" s="62">
        <f t="shared" si="57"/>
        <v>0</v>
      </c>
      <c r="U476" s="63">
        <f t="shared" si="58"/>
        <v>0</v>
      </c>
      <c r="V476" s="145">
        <f t="shared" si="59"/>
        <v>0</v>
      </c>
      <c r="W476" s="198"/>
      <c r="X476" s="1379"/>
      <c r="Y476" s="1380"/>
      <c r="Z476" s="62">
        <f t="shared" si="60"/>
        <v>0</v>
      </c>
      <c r="AA476" s="146">
        <f t="shared" si="61"/>
        <v>0</v>
      </c>
      <c r="AB476" s="198"/>
      <c r="AC476" s="1379"/>
      <c r="AD476" s="1380"/>
      <c r="AE476" s="62">
        <f t="shared" si="62"/>
        <v>0</v>
      </c>
      <c r="AF476" s="148">
        <f t="shared" si="63"/>
        <v>0</v>
      </c>
      <c r="AG476" s="198"/>
      <c r="AH476" s="1379"/>
      <c r="AI476" s="1380"/>
      <c r="AJ476"/>
      <c r="AK476"/>
      <c r="AL476"/>
      <c r="AM476"/>
      <c r="AN476"/>
    </row>
    <row r="477" spans="1:40" s="66" customFormat="1" ht="14.5">
      <c r="A477" s="186"/>
      <c r="B477" s="187"/>
      <c r="C477" s="188"/>
      <c r="D477" s="188"/>
      <c r="E477" s="189"/>
      <c r="F477" s="190"/>
      <c r="G477" s="190"/>
      <c r="H477" s="189"/>
      <c r="I477" s="189"/>
      <c r="J477" s="191"/>
      <c r="K477" s="191"/>
      <c r="L477" s="61">
        <f t="shared" si="56"/>
        <v>0</v>
      </c>
      <c r="M477" s="192"/>
      <c r="N477" s="193"/>
      <c r="O477" s="192"/>
      <c r="P477" s="194"/>
      <c r="Q477" s="195"/>
      <c r="R477" s="196"/>
      <c r="S477" s="197"/>
      <c r="T477" s="62">
        <f t="shared" si="57"/>
        <v>0</v>
      </c>
      <c r="U477" s="63">
        <f t="shared" si="58"/>
        <v>0</v>
      </c>
      <c r="V477" s="145">
        <f t="shared" si="59"/>
        <v>0</v>
      </c>
      <c r="W477" s="198"/>
      <c r="X477" s="1379"/>
      <c r="Y477" s="1380"/>
      <c r="Z477" s="62">
        <f t="shared" si="60"/>
        <v>0</v>
      </c>
      <c r="AA477" s="146">
        <f t="shared" si="61"/>
        <v>0</v>
      </c>
      <c r="AB477" s="198"/>
      <c r="AC477" s="1379"/>
      <c r="AD477" s="1380"/>
      <c r="AE477" s="62">
        <f t="shared" si="62"/>
        <v>0</v>
      </c>
      <c r="AF477" s="148">
        <f t="shared" si="63"/>
        <v>0</v>
      </c>
      <c r="AG477" s="198"/>
      <c r="AH477" s="1379"/>
      <c r="AI477" s="1380"/>
      <c r="AJ477"/>
      <c r="AK477"/>
      <c r="AL477"/>
      <c r="AM477"/>
      <c r="AN477"/>
    </row>
    <row r="478" spans="1:40" s="66" customFormat="1" ht="14.5">
      <c r="A478" s="186"/>
      <c r="B478" s="187"/>
      <c r="C478" s="188"/>
      <c r="D478" s="188"/>
      <c r="E478" s="189"/>
      <c r="F478" s="190"/>
      <c r="G478" s="190"/>
      <c r="H478" s="189"/>
      <c r="I478" s="189"/>
      <c r="J478" s="191"/>
      <c r="K478" s="191"/>
      <c r="L478" s="61">
        <f t="shared" si="56"/>
        <v>0</v>
      </c>
      <c r="M478" s="192"/>
      <c r="N478" s="193"/>
      <c r="O478" s="192"/>
      <c r="P478" s="194"/>
      <c r="Q478" s="195"/>
      <c r="R478" s="196"/>
      <c r="S478" s="197"/>
      <c r="T478" s="62">
        <f t="shared" si="57"/>
        <v>0</v>
      </c>
      <c r="U478" s="63">
        <f t="shared" si="58"/>
        <v>0</v>
      </c>
      <c r="V478" s="145">
        <f t="shared" si="59"/>
        <v>0</v>
      </c>
      <c r="W478" s="198"/>
      <c r="X478" s="1379"/>
      <c r="Y478" s="1380"/>
      <c r="Z478" s="62">
        <f t="shared" si="60"/>
        <v>0</v>
      </c>
      <c r="AA478" s="146">
        <f t="shared" si="61"/>
        <v>0</v>
      </c>
      <c r="AB478" s="198"/>
      <c r="AC478" s="1379"/>
      <c r="AD478" s="1380"/>
      <c r="AE478" s="62">
        <f t="shared" si="62"/>
        <v>0</v>
      </c>
      <c r="AF478" s="148">
        <f t="shared" si="63"/>
        <v>0</v>
      </c>
      <c r="AG478" s="198"/>
      <c r="AH478" s="1379"/>
      <c r="AI478" s="1380"/>
      <c r="AJ478"/>
      <c r="AK478"/>
      <c r="AL478"/>
      <c r="AM478"/>
      <c r="AN478"/>
    </row>
    <row r="479" spans="1:40" s="66" customFormat="1" ht="14.5">
      <c r="A479" s="186"/>
      <c r="B479" s="187"/>
      <c r="C479" s="188"/>
      <c r="D479" s="188"/>
      <c r="E479" s="189"/>
      <c r="F479" s="190"/>
      <c r="G479" s="190"/>
      <c r="H479" s="189"/>
      <c r="I479" s="189"/>
      <c r="J479" s="191"/>
      <c r="K479" s="191"/>
      <c r="L479" s="61">
        <f t="shared" si="56"/>
        <v>0</v>
      </c>
      <c r="M479" s="192"/>
      <c r="N479" s="193"/>
      <c r="O479" s="192"/>
      <c r="P479" s="194"/>
      <c r="Q479" s="195"/>
      <c r="R479" s="196"/>
      <c r="S479" s="197"/>
      <c r="T479" s="62">
        <f t="shared" si="57"/>
        <v>0</v>
      </c>
      <c r="U479" s="63">
        <f t="shared" si="58"/>
        <v>0</v>
      </c>
      <c r="V479" s="145">
        <f t="shared" si="59"/>
        <v>0</v>
      </c>
      <c r="W479" s="198"/>
      <c r="X479" s="1379"/>
      <c r="Y479" s="1380"/>
      <c r="Z479" s="62">
        <f t="shared" si="60"/>
        <v>0</v>
      </c>
      <c r="AA479" s="146">
        <f t="shared" si="61"/>
        <v>0</v>
      </c>
      <c r="AB479" s="198"/>
      <c r="AC479" s="1379"/>
      <c r="AD479" s="1380"/>
      <c r="AE479" s="62">
        <f t="shared" si="62"/>
        <v>0</v>
      </c>
      <c r="AF479" s="148">
        <f t="shared" si="63"/>
        <v>0</v>
      </c>
      <c r="AG479" s="198"/>
      <c r="AH479" s="1379"/>
      <c r="AI479" s="1380"/>
      <c r="AJ479"/>
      <c r="AK479"/>
      <c r="AL479"/>
      <c r="AM479"/>
      <c r="AN479"/>
    </row>
    <row r="480" spans="1:40" s="66" customFormat="1" ht="14.5">
      <c r="A480" s="186"/>
      <c r="B480" s="187"/>
      <c r="C480" s="188"/>
      <c r="D480" s="188"/>
      <c r="E480" s="189"/>
      <c r="F480" s="190"/>
      <c r="G480" s="190"/>
      <c r="H480" s="189"/>
      <c r="I480" s="189"/>
      <c r="J480" s="191"/>
      <c r="K480" s="191"/>
      <c r="L480" s="61">
        <f t="shared" si="56"/>
        <v>0</v>
      </c>
      <c r="M480" s="192"/>
      <c r="N480" s="193"/>
      <c r="O480" s="192"/>
      <c r="P480" s="194"/>
      <c r="Q480" s="195"/>
      <c r="R480" s="196"/>
      <c r="S480" s="197"/>
      <c r="T480" s="62">
        <f t="shared" si="57"/>
        <v>0</v>
      </c>
      <c r="U480" s="63">
        <f t="shared" si="58"/>
        <v>0</v>
      </c>
      <c r="V480" s="145">
        <f t="shared" si="59"/>
        <v>0</v>
      </c>
      <c r="W480" s="198"/>
      <c r="X480" s="1379"/>
      <c r="Y480" s="1380"/>
      <c r="Z480" s="62">
        <f t="shared" si="60"/>
        <v>0</v>
      </c>
      <c r="AA480" s="146">
        <f t="shared" si="61"/>
        <v>0</v>
      </c>
      <c r="AB480" s="198"/>
      <c r="AC480" s="1379"/>
      <c r="AD480" s="1380"/>
      <c r="AE480" s="62">
        <f t="shared" si="62"/>
        <v>0</v>
      </c>
      <c r="AF480" s="148">
        <f t="shared" si="63"/>
        <v>0</v>
      </c>
      <c r="AG480" s="198"/>
      <c r="AH480" s="1379"/>
      <c r="AI480" s="1380"/>
      <c r="AJ480"/>
      <c r="AK480"/>
      <c r="AL480"/>
      <c r="AM480"/>
      <c r="AN480"/>
    </row>
    <row r="481" spans="1:40" s="66" customFormat="1" ht="14.5">
      <c r="A481" s="186"/>
      <c r="B481" s="187"/>
      <c r="C481" s="188"/>
      <c r="D481" s="188"/>
      <c r="E481" s="189"/>
      <c r="F481" s="190"/>
      <c r="G481" s="190"/>
      <c r="H481" s="189"/>
      <c r="I481" s="189"/>
      <c r="J481" s="191"/>
      <c r="K481" s="191"/>
      <c r="L481" s="61">
        <f t="shared" si="56"/>
        <v>0</v>
      </c>
      <c r="M481" s="192"/>
      <c r="N481" s="193"/>
      <c r="O481" s="192"/>
      <c r="P481" s="194"/>
      <c r="Q481" s="195"/>
      <c r="R481" s="196"/>
      <c r="S481" s="197"/>
      <c r="T481" s="62">
        <f t="shared" si="57"/>
        <v>0</v>
      </c>
      <c r="U481" s="63">
        <f t="shared" si="58"/>
        <v>0</v>
      </c>
      <c r="V481" s="145">
        <f t="shared" si="59"/>
        <v>0</v>
      </c>
      <c r="W481" s="198"/>
      <c r="X481" s="1379"/>
      <c r="Y481" s="1380"/>
      <c r="Z481" s="62">
        <f t="shared" si="60"/>
        <v>0</v>
      </c>
      <c r="AA481" s="146">
        <f t="shared" si="61"/>
        <v>0</v>
      </c>
      <c r="AB481" s="198"/>
      <c r="AC481" s="1379"/>
      <c r="AD481" s="1380"/>
      <c r="AE481" s="62">
        <f t="shared" si="62"/>
        <v>0</v>
      </c>
      <c r="AF481" s="148">
        <f t="shared" si="63"/>
        <v>0</v>
      </c>
      <c r="AG481" s="198"/>
      <c r="AH481" s="1379"/>
      <c r="AI481" s="1380"/>
      <c r="AJ481"/>
      <c r="AK481"/>
      <c r="AL481"/>
      <c r="AM481"/>
      <c r="AN481"/>
    </row>
    <row r="482" spans="1:40" s="66" customFormat="1" ht="14.5">
      <c r="A482" s="186"/>
      <c r="B482" s="187"/>
      <c r="C482" s="188"/>
      <c r="D482" s="188"/>
      <c r="E482" s="189"/>
      <c r="F482" s="190"/>
      <c r="G482" s="190"/>
      <c r="H482" s="189"/>
      <c r="I482" s="189"/>
      <c r="J482" s="191"/>
      <c r="K482" s="191"/>
      <c r="L482" s="61">
        <f t="shared" si="56"/>
        <v>0</v>
      </c>
      <c r="M482" s="192"/>
      <c r="N482" s="193"/>
      <c r="O482" s="192"/>
      <c r="P482" s="194"/>
      <c r="Q482" s="195"/>
      <c r="R482" s="196"/>
      <c r="S482" s="197"/>
      <c r="T482" s="62">
        <f t="shared" si="57"/>
        <v>0</v>
      </c>
      <c r="U482" s="63">
        <f t="shared" si="58"/>
        <v>0</v>
      </c>
      <c r="V482" s="145">
        <f t="shared" si="59"/>
        <v>0</v>
      </c>
      <c r="W482" s="198"/>
      <c r="X482" s="1379"/>
      <c r="Y482" s="1380"/>
      <c r="Z482" s="62">
        <f t="shared" si="60"/>
        <v>0</v>
      </c>
      <c r="AA482" s="146">
        <f t="shared" si="61"/>
        <v>0</v>
      </c>
      <c r="AB482" s="198"/>
      <c r="AC482" s="1379"/>
      <c r="AD482" s="1380"/>
      <c r="AE482" s="62">
        <f t="shared" si="62"/>
        <v>0</v>
      </c>
      <c r="AF482" s="148">
        <f t="shared" si="63"/>
        <v>0</v>
      </c>
      <c r="AG482" s="198"/>
      <c r="AH482" s="1379"/>
      <c r="AI482" s="1380"/>
      <c r="AJ482"/>
      <c r="AK482"/>
      <c r="AL482"/>
      <c r="AM482"/>
      <c r="AN482"/>
    </row>
    <row r="483" spans="1:40" s="66" customFormat="1" ht="14.5">
      <c r="A483" s="186"/>
      <c r="B483" s="187"/>
      <c r="C483" s="188"/>
      <c r="D483" s="188"/>
      <c r="E483" s="189"/>
      <c r="F483" s="190"/>
      <c r="G483" s="190"/>
      <c r="H483" s="189"/>
      <c r="I483" s="189"/>
      <c r="J483" s="191"/>
      <c r="K483" s="191"/>
      <c r="L483" s="61">
        <f t="shared" si="56"/>
        <v>0</v>
      </c>
      <c r="M483" s="192"/>
      <c r="N483" s="193"/>
      <c r="O483" s="192"/>
      <c r="P483" s="194"/>
      <c r="Q483" s="195"/>
      <c r="R483" s="196"/>
      <c r="S483" s="197"/>
      <c r="T483" s="62">
        <f t="shared" si="57"/>
        <v>0</v>
      </c>
      <c r="U483" s="63">
        <f t="shared" si="58"/>
        <v>0</v>
      </c>
      <c r="V483" s="145">
        <f t="shared" si="59"/>
        <v>0</v>
      </c>
      <c r="W483" s="198"/>
      <c r="X483" s="1379"/>
      <c r="Y483" s="1380"/>
      <c r="Z483" s="62">
        <f t="shared" si="60"/>
        <v>0</v>
      </c>
      <c r="AA483" s="146">
        <f t="shared" si="61"/>
        <v>0</v>
      </c>
      <c r="AB483" s="198"/>
      <c r="AC483" s="1379"/>
      <c r="AD483" s="1380"/>
      <c r="AE483" s="62">
        <f t="shared" si="62"/>
        <v>0</v>
      </c>
      <c r="AF483" s="148">
        <f t="shared" si="63"/>
        <v>0</v>
      </c>
      <c r="AG483" s="198"/>
      <c r="AH483" s="1379"/>
      <c r="AI483" s="1380"/>
      <c r="AJ483"/>
      <c r="AK483"/>
      <c r="AL483"/>
      <c r="AM483"/>
      <c r="AN483"/>
    </row>
    <row r="484" spans="1:40" s="66" customFormat="1" ht="14.5">
      <c r="A484" s="186"/>
      <c r="B484" s="187"/>
      <c r="C484" s="188"/>
      <c r="D484" s="188"/>
      <c r="E484" s="189"/>
      <c r="F484" s="190"/>
      <c r="G484" s="190"/>
      <c r="H484" s="189"/>
      <c r="I484" s="189"/>
      <c r="J484" s="191"/>
      <c r="K484" s="191"/>
      <c r="L484" s="61">
        <f t="shared" si="56"/>
        <v>0</v>
      </c>
      <c r="M484" s="192"/>
      <c r="N484" s="193"/>
      <c r="O484" s="192"/>
      <c r="P484" s="194"/>
      <c r="Q484" s="195"/>
      <c r="R484" s="196"/>
      <c r="S484" s="197"/>
      <c r="T484" s="62">
        <f t="shared" si="57"/>
        <v>0</v>
      </c>
      <c r="U484" s="63">
        <f t="shared" si="58"/>
        <v>0</v>
      </c>
      <c r="V484" s="145">
        <f t="shared" si="59"/>
        <v>0</v>
      </c>
      <c r="W484" s="198"/>
      <c r="X484" s="1379"/>
      <c r="Y484" s="1380"/>
      <c r="Z484" s="62">
        <f t="shared" si="60"/>
        <v>0</v>
      </c>
      <c r="AA484" s="146">
        <f t="shared" si="61"/>
        <v>0</v>
      </c>
      <c r="AB484" s="198"/>
      <c r="AC484" s="1379"/>
      <c r="AD484" s="1380"/>
      <c r="AE484" s="62">
        <f t="shared" si="62"/>
        <v>0</v>
      </c>
      <c r="AF484" s="148">
        <f t="shared" si="63"/>
        <v>0</v>
      </c>
      <c r="AG484" s="198"/>
      <c r="AH484" s="1379"/>
      <c r="AI484" s="1380"/>
      <c r="AJ484"/>
      <c r="AK484"/>
      <c r="AL484"/>
      <c r="AM484"/>
      <c r="AN484"/>
    </row>
    <row r="485" spans="1:40" s="66" customFormat="1" ht="14.5">
      <c r="A485" s="186"/>
      <c r="B485" s="187"/>
      <c r="C485" s="188"/>
      <c r="D485" s="188"/>
      <c r="E485" s="189"/>
      <c r="F485" s="190"/>
      <c r="G485" s="190"/>
      <c r="H485" s="189"/>
      <c r="I485" s="189"/>
      <c r="J485" s="191"/>
      <c r="K485" s="191"/>
      <c r="L485" s="61">
        <f t="shared" si="56"/>
        <v>0</v>
      </c>
      <c r="M485" s="192"/>
      <c r="N485" s="193"/>
      <c r="O485" s="192"/>
      <c r="P485" s="194"/>
      <c r="Q485" s="195"/>
      <c r="R485" s="196"/>
      <c r="S485" s="197"/>
      <c r="T485" s="62">
        <f t="shared" si="57"/>
        <v>0</v>
      </c>
      <c r="U485" s="63">
        <f t="shared" si="58"/>
        <v>0</v>
      </c>
      <c r="V485" s="145">
        <f t="shared" si="59"/>
        <v>0</v>
      </c>
      <c r="W485" s="198"/>
      <c r="X485" s="1379"/>
      <c r="Y485" s="1380"/>
      <c r="Z485" s="62">
        <f t="shared" si="60"/>
        <v>0</v>
      </c>
      <c r="AA485" s="146">
        <f t="shared" si="61"/>
        <v>0</v>
      </c>
      <c r="AB485" s="198"/>
      <c r="AC485" s="1379"/>
      <c r="AD485" s="1380"/>
      <c r="AE485" s="62">
        <f t="shared" si="62"/>
        <v>0</v>
      </c>
      <c r="AF485" s="148">
        <f t="shared" si="63"/>
        <v>0</v>
      </c>
      <c r="AG485" s="198"/>
      <c r="AH485" s="1379"/>
      <c r="AI485" s="1380"/>
      <c r="AJ485"/>
      <c r="AK485"/>
      <c r="AL485"/>
      <c r="AM485"/>
      <c r="AN485"/>
    </row>
    <row r="486" spans="1:40" s="66" customFormat="1" ht="14.5">
      <c r="A486" s="186"/>
      <c r="B486" s="187"/>
      <c r="C486" s="188"/>
      <c r="D486" s="188"/>
      <c r="E486" s="189"/>
      <c r="F486" s="190"/>
      <c r="G486" s="190"/>
      <c r="H486" s="189"/>
      <c r="I486" s="189"/>
      <c r="J486" s="191"/>
      <c r="K486" s="191"/>
      <c r="L486" s="61">
        <f t="shared" si="56"/>
        <v>0</v>
      </c>
      <c r="M486" s="192"/>
      <c r="N486" s="193"/>
      <c r="O486" s="192"/>
      <c r="P486" s="194"/>
      <c r="Q486" s="195"/>
      <c r="R486" s="196"/>
      <c r="S486" s="197"/>
      <c r="T486" s="62">
        <f t="shared" si="57"/>
        <v>0</v>
      </c>
      <c r="U486" s="63">
        <f t="shared" si="58"/>
        <v>0</v>
      </c>
      <c r="V486" s="145">
        <f t="shared" si="59"/>
        <v>0</v>
      </c>
      <c r="W486" s="198"/>
      <c r="X486" s="1379"/>
      <c r="Y486" s="1380"/>
      <c r="Z486" s="62">
        <f t="shared" si="60"/>
        <v>0</v>
      </c>
      <c r="AA486" s="146">
        <f t="shared" si="61"/>
        <v>0</v>
      </c>
      <c r="AB486" s="198"/>
      <c r="AC486" s="1379"/>
      <c r="AD486" s="1380"/>
      <c r="AE486" s="62">
        <f t="shared" si="62"/>
        <v>0</v>
      </c>
      <c r="AF486" s="148">
        <f t="shared" si="63"/>
        <v>0</v>
      </c>
      <c r="AG486" s="198"/>
      <c r="AH486" s="1379"/>
      <c r="AI486" s="1380"/>
      <c r="AJ486"/>
      <c r="AK486"/>
      <c r="AL486"/>
      <c r="AM486"/>
      <c r="AN486"/>
    </row>
    <row r="487" spans="1:40" s="66" customFormat="1" ht="14.5">
      <c r="A487" s="186"/>
      <c r="B487" s="187"/>
      <c r="C487" s="188"/>
      <c r="D487" s="188"/>
      <c r="E487" s="189"/>
      <c r="F487" s="190"/>
      <c r="G487" s="190"/>
      <c r="H487" s="189"/>
      <c r="I487" s="189"/>
      <c r="J487" s="191"/>
      <c r="K487" s="191"/>
      <c r="L487" s="61">
        <f t="shared" si="56"/>
        <v>0</v>
      </c>
      <c r="M487" s="192"/>
      <c r="N487" s="193"/>
      <c r="O487" s="192"/>
      <c r="P487" s="194"/>
      <c r="Q487" s="195"/>
      <c r="R487" s="196"/>
      <c r="S487" s="197"/>
      <c r="T487" s="62">
        <f t="shared" si="57"/>
        <v>0</v>
      </c>
      <c r="U487" s="63">
        <f t="shared" si="58"/>
        <v>0</v>
      </c>
      <c r="V487" s="145">
        <f t="shared" si="59"/>
        <v>0</v>
      </c>
      <c r="W487" s="198"/>
      <c r="X487" s="1379"/>
      <c r="Y487" s="1380"/>
      <c r="Z487" s="62">
        <f t="shared" si="60"/>
        <v>0</v>
      </c>
      <c r="AA487" s="146">
        <f t="shared" si="61"/>
        <v>0</v>
      </c>
      <c r="AB487" s="198"/>
      <c r="AC487" s="1379"/>
      <c r="AD487" s="1380"/>
      <c r="AE487" s="62">
        <f t="shared" si="62"/>
        <v>0</v>
      </c>
      <c r="AF487" s="148">
        <f t="shared" si="63"/>
        <v>0</v>
      </c>
      <c r="AG487" s="198"/>
      <c r="AH487" s="1379"/>
      <c r="AI487" s="1380"/>
      <c r="AJ487"/>
      <c r="AK487"/>
      <c r="AL487"/>
      <c r="AM487"/>
      <c r="AN487"/>
    </row>
    <row r="488" spans="1:40" s="66" customFormat="1" ht="14.5">
      <c r="A488" s="186"/>
      <c r="B488" s="187"/>
      <c r="C488" s="188"/>
      <c r="D488" s="188"/>
      <c r="E488" s="189"/>
      <c r="F488" s="190"/>
      <c r="G488" s="190"/>
      <c r="H488" s="189"/>
      <c r="I488" s="189"/>
      <c r="J488" s="191"/>
      <c r="K488" s="191"/>
      <c r="L488" s="61">
        <f t="shared" si="56"/>
        <v>0</v>
      </c>
      <c r="M488" s="192"/>
      <c r="N488" s="193"/>
      <c r="O488" s="192"/>
      <c r="P488" s="194"/>
      <c r="Q488" s="195"/>
      <c r="R488" s="196"/>
      <c r="S488" s="197"/>
      <c r="T488" s="62">
        <f t="shared" si="57"/>
        <v>0</v>
      </c>
      <c r="U488" s="63">
        <f t="shared" si="58"/>
        <v>0</v>
      </c>
      <c r="V488" s="145">
        <f t="shared" si="59"/>
        <v>0</v>
      </c>
      <c r="W488" s="198"/>
      <c r="X488" s="1379"/>
      <c r="Y488" s="1380"/>
      <c r="Z488" s="62">
        <f t="shared" si="60"/>
        <v>0</v>
      </c>
      <c r="AA488" s="146">
        <f t="shared" si="61"/>
        <v>0</v>
      </c>
      <c r="AB488" s="198"/>
      <c r="AC488" s="1379"/>
      <c r="AD488" s="1380"/>
      <c r="AE488" s="62">
        <f t="shared" si="62"/>
        <v>0</v>
      </c>
      <c r="AF488" s="148">
        <f t="shared" si="63"/>
        <v>0</v>
      </c>
      <c r="AG488" s="198"/>
      <c r="AH488" s="1379"/>
      <c r="AI488" s="1380"/>
      <c r="AJ488"/>
      <c r="AK488"/>
      <c r="AL488"/>
      <c r="AM488"/>
      <c r="AN488"/>
    </row>
    <row r="489" spans="1:40" s="66" customFormat="1" ht="14.5">
      <c r="A489" s="186"/>
      <c r="B489" s="187"/>
      <c r="C489" s="188"/>
      <c r="D489" s="188"/>
      <c r="E489" s="189"/>
      <c r="F489" s="190"/>
      <c r="G489" s="190"/>
      <c r="H489" s="189"/>
      <c r="I489" s="189"/>
      <c r="J489" s="191"/>
      <c r="K489" s="191"/>
      <c r="L489" s="61">
        <f t="shared" si="56"/>
        <v>0</v>
      </c>
      <c r="M489" s="192"/>
      <c r="N489" s="193"/>
      <c r="O489" s="192"/>
      <c r="P489" s="194"/>
      <c r="Q489" s="195"/>
      <c r="R489" s="196"/>
      <c r="S489" s="197"/>
      <c r="T489" s="62">
        <f t="shared" si="57"/>
        <v>0</v>
      </c>
      <c r="U489" s="63">
        <f t="shared" si="58"/>
        <v>0</v>
      </c>
      <c r="V489" s="145">
        <f t="shared" si="59"/>
        <v>0</v>
      </c>
      <c r="W489" s="198"/>
      <c r="X489" s="1379"/>
      <c r="Y489" s="1380"/>
      <c r="Z489" s="62">
        <f t="shared" si="60"/>
        <v>0</v>
      </c>
      <c r="AA489" s="146">
        <f t="shared" si="61"/>
        <v>0</v>
      </c>
      <c r="AB489" s="198"/>
      <c r="AC489" s="1379"/>
      <c r="AD489" s="1380"/>
      <c r="AE489" s="62">
        <f t="shared" si="62"/>
        <v>0</v>
      </c>
      <c r="AF489" s="148">
        <f t="shared" si="63"/>
        <v>0</v>
      </c>
      <c r="AG489" s="198"/>
      <c r="AH489" s="1379"/>
      <c r="AI489" s="1380"/>
      <c r="AJ489"/>
      <c r="AK489"/>
      <c r="AL489"/>
      <c r="AM489"/>
      <c r="AN489"/>
    </row>
    <row r="490" spans="1:40" s="66" customFormat="1" ht="14.5">
      <c r="A490" s="186"/>
      <c r="B490" s="187"/>
      <c r="C490" s="188"/>
      <c r="D490" s="188"/>
      <c r="E490" s="189"/>
      <c r="F490" s="190"/>
      <c r="G490" s="190"/>
      <c r="H490" s="189"/>
      <c r="I490" s="189"/>
      <c r="J490" s="191"/>
      <c r="K490" s="191"/>
      <c r="L490" s="61">
        <f t="shared" si="56"/>
        <v>0</v>
      </c>
      <c r="M490" s="192"/>
      <c r="N490" s="193"/>
      <c r="O490" s="192"/>
      <c r="P490" s="194"/>
      <c r="Q490" s="195"/>
      <c r="R490" s="196"/>
      <c r="S490" s="197"/>
      <c r="T490" s="62">
        <f t="shared" si="57"/>
        <v>0</v>
      </c>
      <c r="U490" s="63">
        <f t="shared" si="58"/>
        <v>0</v>
      </c>
      <c r="V490" s="145">
        <f t="shared" si="59"/>
        <v>0</v>
      </c>
      <c r="W490" s="198"/>
      <c r="X490" s="1379"/>
      <c r="Y490" s="1380"/>
      <c r="Z490" s="62">
        <f t="shared" si="60"/>
        <v>0</v>
      </c>
      <c r="AA490" s="146">
        <f t="shared" si="61"/>
        <v>0</v>
      </c>
      <c r="AB490" s="198"/>
      <c r="AC490" s="1379"/>
      <c r="AD490" s="1380"/>
      <c r="AE490" s="62">
        <f t="shared" si="62"/>
        <v>0</v>
      </c>
      <c r="AF490" s="148">
        <f t="shared" si="63"/>
        <v>0</v>
      </c>
      <c r="AG490" s="198"/>
      <c r="AH490" s="1379"/>
      <c r="AI490" s="1380"/>
      <c r="AJ490"/>
      <c r="AK490"/>
      <c r="AL490"/>
      <c r="AM490"/>
      <c r="AN490"/>
    </row>
    <row r="491" spans="1:40" s="66" customFormat="1" ht="14.5">
      <c r="A491" s="186"/>
      <c r="B491" s="187"/>
      <c r="C491" s="188"/>
      <c r="D491" s="188"/>
      <c r="E491" s="189"/>
      <c r="F491" s="190"/>
      <c r="G491" s="190"/>
      <c r="H491" s="189"/>
      <c r="I491" s="189"/>
      <c r="J491" s="191"/>
      <c r="K491" s="191"/>
      <c r="L491" s="61">
        <f t="shared" si="56"/>
        <v>0</v>
      </c>
      <c r="M491" s="192"/>
      <c r="N491" s="193"/>
      <c r="O491" s="192"/>
      <c r="P491" s="194"/>
      <c r="Q491" s="195"/>
      <c r="R491" s="196"/>
      <c r="S491" s="197"/>
      <c r="T491" s="62">
        <f t="shared" si="57"/>
        <v>0</v>
      </c>
      <c r="U491" s="63">
        <f t="shared" si="58"/>
        <v>0</v>
      </c>
      <c r="V491" s="145">
        <f t="shared" si="59"/>
        <v>0</v>
      </c>
      <c r="W491" s="198"/>
      <c r="X491" s="1379"/>
      <c r="Y491" s="1380"/>
      <c r="Z491" s="62">
        <f t="shared" si="60"/>
        <v>0</v>
      </c>
      <c r="AA491" s="146">
        <f t="shared" si="61"/>
        <v>0</v>
      </c>
      <c r="AB491" s="198"/>
      <c r="AC491" s="1379"/>
      <c r="AD491" s="1380"/>
      <c r="AE491" s="62">
        <f t="shared" si="62"/>
        <v>0</v>
      </c>
      <c r="AF491" s="148">
        <f t="shared" si="63"/>
        <v>0</v>
      </c>
      <c r="AG491" s="198"/>
      <c r="AH491" s="1379"/>
      <c r="AI491" s="1380"/>
      <c r="AJ491"/>
      <c r="AK491"/>
      <c r="AL491"/>
      <c r="AM491"/>
      <c r="AN491"/>
    </row>
    <row r="492" spans="1:40" s="66" customFormat="1" ht="14.5">
      <c r="A492" s="186"/>
      <c r="B492" s="187"/>
      <c r="C492" s="188"/>
      <c r="D492" s="188"/>
      <c r="E492" s="189"/>
      <c r="F492" s="190"/>
      <c r="G492" s="190"/>
      <c r="H492" s="189"/>
      <c r="I492" s="189"/>
      <c r="J492" s="191"/>
      <c r="K492" s="191"/>
      <c r="L492" s="61">
        <f t="shared" si="56"/>
        <v>0</v>
      </c>
      <c r="M492" s="192"/>
      <c r="N492" s="193"/>
      <c r="O492" s="192"/>
      <c r="P492" s="194"/>
      <c r="Q492" s="195"/>
      <c r="R492" s="196"/>
      <c r="S492" s="197"/>
      <c r="T492" s="62">
        <f t="shared" si="57"/>
        <v>0</v>
      </c>
      <c r="U492" s="63">
        <f t="shared" si="58"/>
        <v>0</v>
      </c>
      <c r="V492" s="145">
        <f t="shared" si="59"/>
        <v>0</v>
      </c>
      <c r="W492" s="198"/>
      <c r="X492" s="1379"/>
      <c r="Y492" s="1380"/>
      <c r="Z492" s="62">
        <f t="shared" si="60"/>
        <v>0</v>
      </c>
      <c r="AA492" s="146">
        <f t="shared" si="61"/>
        <v>0</v>
      </c>
      <c r="AB492" s="198"/>
      <c r="AC492" s="1379"/>
      <c r="AD492" s="1380"/>
      <c r="AE492" s="62">
        <f t="shared" si="62"/>
        <v>0</v>
      </c>
      <c r="AF492" s="148">
        <f t="shared" si="63"/>
        <v>0</v>
      </c>
      <c r="AG492" s="198"/>
      <c r="AH492" s="1379"/>
      <c r="AI492" s="1380"/>
      <c r="AJ492"/>
      <c r="AK492"/>
      <c r="AL492"/>
      <c r="AM492"/>
      <c r="AN492"/>
    </row>
    <row r="493" spans="1:40" s="66" customFormat="1" ht="14.5">
      <c r="A493" s="186"/>
      <c r="B493" s="187"/>
      <c r="C493" s="188"/>
      <c r="D493" s="188"/>
      <c r="E493" s="189"/>
      <c r="F493" s="190"/>
      <c r="G493" s="190"/>
      <c r="H493" s="189"/>
      <c r="I493" s="189"/>
      <c r="J493" s="191"/>
      <c r="K493" s="191"/>
      <c r="L493" s="61">
        <f t="shared" si="56"/>
        <v>0</v>
      </c>
      <c r="M493" s="192"/>
      <c r="N493" s="193"/>
      <c r="O493" s="192"/>
      <c r="P493" s="194"/>
      <c r="Q493" s="195"/>
      <c r="R493" s="196"/>
      <c r="S493" s="197"/>
      <c r="T493" s="62">
        <f t="shared" si="57"/>
        <v>0</v>
      </c>
      <c r="U493" s="63">
        <f t="shared" si="58"/>
        <v>0</v>
      </c>
      <c r="V493" s="145">
        <f t="shared" si="59"/>
        <v>0</v>
      </c>
      <c r="W493" s="198"/>
      <c r="X493" s="1379"/>
      <c r="Y493" s="1380"/>
      <c r="Z493" s="62">
        <f t="shared" si="60"/>
        <v>0</v>
      </c>
      <c r="AA493" s="146">
        <f t="shared" si="61"/>
        <v>0</v>
      </c>
      <c r="AB493" s="198"/>
      <c r="AC493" s="1379"/>
      <c r="AD493" s="1380"/>
      <c r="AE493" s="62">
        <f t="shared" si="62"/>
        <v>0</v>
      </c>
      <c r="AF493" s="148">
        <f t="shared" si="63"/>
        <v>0</v>
      </c>
      <c r="AG493" s="198"/>
      <c r="AH493" s="1379"/>
      <c r="AI493" s="1380"/>
      <c r="AJ493"/>
      <c r="AK493"/>
      <c r="AL493"/>
      <c r="AM493"/>
      <c r="AN493"/>
    </row>
    <row r="494" spans="1:40" s="66" customFormat="1" ht="14.5">
      <c r="A494" s="186"/>
      <c r="B494" s="187"/>
      <c r="C494" s="188"/>
      <c r="D494" s="188"/>
      <c r="E494" s="189"/>
      <c r="F494" s="190"/>
      <c r="G494" s="190"/>
      <c r="H494" s="189"/>
      <c r="I494" s="189"/>
      <c r="J494" s="191"/>
      <c r="K494" s="191"/>
      <c r="L494" s="61">
        <f t="shared" si="56"/>
        <v>0</v>
      </c>
      <c r="M494" s="192"/>
      <c r="N494" s="193"/>
      <c r="O494" s="192"/>
      <c r="P494" s="194"/>
      <c r="Q494" s="195"/>
      <c r="R494" s="196"/>
      <c r="S494" s="197"/>
      <c r="T494" s="62">
        <f t="shared" si="57"/>
        <v>0</v>
      </c>
      <c r="U494" s="63">
        <f t="shared" si="58"/>
        <v>0</v>
      </c>
      <c r="V494" s="145">
        <f t="shared" si="59"/>
        <v>0</v>
      </c>
      <c r="W494" s="198"/>
      <c r="X494" s="1379"/>
      <c r="Y494" s="1380"/>
      <c r="Z494" s="62">
        <f t="shared" si="60"/>
        <v>0</v>
      </c>
      <c r="AA494" s="146">
        <f t="shared" si="61"/>
        <v>0</v>
      </c>
      <c r="AB494" s="198"/>
      <c r="AC494" s="1379"/>
      <c r="AD494" s="1380"/>
      <c r="AE494" s="62">
        <f t="shared" si="62"/>
        <v>0</v>
      </c>
      <c r="AF494" s="148">
        <f t="shared" si="63"/>
        <v>0</v>
      </c>
      <c r="AG494" s="198"/>
      <c r="AH494" s="1379"/>
      <c r="AI494" s="1380"/>
      <c r="AJ494"/>
      <c r="AK494"/>
      <c r="AL494"/>
      <c r="AM494"/>
      <c r="AN494"/>
    </row>
    <row r="495" spans="1:40" s="66" customFormat="1" ht="14.5">
      <c r="A495" s="186"/>
      <c r="B495" s="187"/>
      <c r="C495" s="188"/>
      <c r="D495" s="188"/>
      <c r="E495" s="189"/>
      <c r="F495" s="190"/>
      <c r="G495" s="190"/>
      <c r="H495" s="189"/>
      <c r="I495" s="189"/>
      <c r="J495" s="191"/>
      <c r="K495" s="191"/>
      <c r="L495" s="61">
        <f t="shared" si="56"/>
        <v>0</v>
      </c>
      <c r="M495" s="192"/>
      <c r="N495" s="193"/>
      <c r="O495" s="192"/>
      <c r="P495" s="194"/>
      <c r="Q495" s="195"/>
      <c r="R495" s="196"/>
      <c r="S495" s="197"/>
      <c r="T495" s="62">
        <f t="shared" si="57"/>
        <v>0</v>
      </c>
      <c r="U495" s="63">
        <f t="shared" si="58"/>
        <v>0</v>
      </c>
      <c r="V495" s="145">
        <f t="shared" si="59"/>
        <v>0</v>
      </c>
      <c r="W495" s="198"/>
      <c r="X495" s="1379"/>
      <c r="Y495" s="1380"/>
      <c r="Z495" s="62">
        <f t="shared" si="60"/>
        <v>0</v>
      </c>
      <c r="AA495" s="146">
        <f t="shared" si="61"/>
        <v>0</v>
      </c>
      <c r="AB495" s="198"/>
      <c r="AC495" s="1379"/>
      <c r="AD495" s="1380"/>
      <c r="AE495" s="62">
        <f t="shared" si="62"/>
        <v>0</v>
      </c>
      <c r="AF495" s="148">
        <f t="shared" si="63"/>
        <v>0</v>
      </c>
      <c r="AG495" s="198"/>
      <c r="AH495" s="1379"/>
      <c r="AI495" s="1380"/>
      <c r="AJ495"/>
      <c r="AK495"/>
      <c r="AL495"/>
      <c r="AM495"/>
      <c r="AN495"/>
    </row>
    <row r="496" spans="1:40" s="66" customFormat="1" ht="14.5">
      <c r="A496" s="186"/>
      <c r="B496" s="187"/>
      <c r="C496" s="188"/>
      <c r="D496" s="188"/>
      <c r="E496" s="189"/>
      <c r="F496" s="190"/>
      <c r="G496" s="190"/>
      <c r="H496" s="189"/>
      <c r="I496" s="189"/>
      <c r="J496" s="191"/>
      <c r="K496" s="191"/>
      <c r="L496" s="61">
        <f t="shared" si="56"/>
        <v>0</v>
      </c>
      <c r="M496" s="192"/>
      <c r="N496" s="193"/>
      <c r="O496" s="192"/>
      <c r="P496" s="194"/>
      <c r="Q496" s="195"/>
      <c r="R496" s="196"/>
      <c r="S496" s="197"/>
      <c r="T496" s="62">
        <f t="shared" si="57"/>
        <v>0</v>
      </c>
      <c r="U496" s="63">
        <f t="shared" si="58"/>
        <v>0</v>
      </c>
      <c r="V496" s="145">
        <f t="shared" si="59"/>
        <v>0</v>
      </c>
      <c r="W496" s="198"/>
      <c r="X496" s="1379"/>
      <c r="Y496" s="1380"/>
      <c r="Z496" s="62">
        <f t="shared" si="60"/>
        <v>0</v>
      </c>
      <c r="AA496" s="146">
        <f t="shared" si="61"/>
        <v>0</v>
      </c>
      <c r="AB496" s="198"/>
      <c r="AC496" s="1379"/>
      <c r="AD496" s="1380"/>
      <c r="AE496" s="62">
        <f t="shared" si="62"/>
        <v>0</v>
      </c>
      <c r="AF496" s="148">
        <f t="shared" si="63"/>
        <v>0</v>
      </c>
      <c r="AG496" s="198"/>
      <c r="AH496" s="1379"/>
      <c r="AI496" s="1380"/>
      <c r="AJ496"/>
      <c r="AK496"/>
      <c r="AL496"/>
      <c r="AM496"/>
      <c r="AN496"/>
    </row>
    <row r="497" spans="1:40" s="66" customFormat="1" ht="14.5">
      <c r="A497" s="186"/>
      <c r="B497" s="187"/>
      <c r="C497" s="188"/>
      <c r="D497" s="188"/>
      <c r="E497" s="189"/>
      <c r="F497" s="190"/>
      <c r="G497" s="190"/>
      <c r="H497" s="189"/>
      <c r="I497" s="189"/>
      <c r="J497" s="191"/>
      <c r="K497" s="191"/>
      <c r="L497" s="61">
        <f t="shared" si="56"/>
        <v>0</v>
      </c>
      <c r="M497" s="192"/>
      <c r="N497" s="193"/>
      <c r="O497" s="192"/>
      <c r="P497" s="194"/>
      <c r="Q497" s="195"/>
      <c r="R497" s="196"/>
      <c r="S497" s="197"/>
      <c r="T497" s="62">
        <f t="shared" si="57"/>
        <v>0</v>
      </c>
      <c r="U497" s="63">
        <f t="shared" si="58"/>
        <v>0</v>
      </c>
      <c r="V497" s="145">
        <f t="shared" si="59"/>
        <v>0</v>
      </c>
      <c r="W497" s="198"/>
      <c r="X497" s="1379"/>
      <c r="Y497" s="1380"/>
      <c r="Z497" s="62">
        <f t="shared" si="60"/>
        <v>0</v>
      </c>
      <c r="AA497" s="146">
        <f t="shared" si="61"/>
        <v>0</v>
      </c>
      <c r="AB497" s="198"/>
      <c r="AC497" s="1379"/>
      <c r="AD497" s="1380"/>
      <c r="AE497" s="62">
        <f t="shared" si="62"/>
        <v>0</v>
      </c>
      <c r="AF497" s="148">
        <f t="shared" si="63"/>
        <v>0</v>
      </c>
      <c r="AG497" s="198"/>
      <c r="AH497" s="1379"/>
      <c r="AI497" s="1380"/>
      <c r="AJ497"/>
      <c r="AK497"/>
      <c r="AL497"/>
      <c r="AM497"/>
      <c r="AN497"/>
    </row>
    <row r="498" spans="1:40" s="66" customFormat="1" ht="14.5">
      <c r="A498" s="186"/>
      <c r="B498" s="187"/>
      <c r="C498" s="188"/>
      <c r="D498" s="188"/>
      <c r="E498" s="189"/>
      <c r="F498" s="190"/>
      <c r="G498" s="190"/>
      <c r="H498" s="189"/>
      <c r="I498" s="189"/>
      <c r="J498" s="191"/>
      <c r="K498" s="191"/>
      <c r="L498" s="61">
        <f t="shared" si="56"/>
        <v>0</v>
      </c>
      <c r="M498" s="192"/>
      <c r="N498" s="193"/>
      <c r="O498" s="192"/>
      <c r="P498" s="194"/>
      <c r="Q498" s="195"/>
      <c r="R498" s="196"/>
      <c r="S498" s="197"/>
      <c r="T498" s="62">
        <f t="shared" si="57"/>
        <v>0</v>
      </c>
      <c r="U498" s="63">
        <f t="shared" si="58"/>
        <v>0</v>
      </c>
      <c r="V498" s="145">
        <f t="shared" si="59"/>
        <v>0</v>
      </c>
      <c r="W498" s="198"/>
      <c r="X498" s="1379"/>
      <c r="Y498" s="1380"/>
      <c r="Z498" s="62">
        <f t="shared" si="60"/>
        <v>0</v>
      </c>
      <c r="AA498" s="146">
        <f t="shared" si="61"/>
        <v>0</v>
      </c>
      <c r="AB498" s="198"/>
      <c r="AC498" s="1379"/>
      <c r="AD498" s="1380"/>
      <c r="AE498" s="62">
        <f t="shared" si="62"/>
        <v>0</v>
      </c>
      <c r="AF498" s="148">
        <f t="shared" si="63"/>
        <v>0</v>
      </c>
      <c r="AG498" s="198"/>
      <c r="AH498" s="1379"/>
      <c r="AI498" s="1380"/>
      <c r="AJ498"/>
      <c r="AK498"/>
      <c r="AL498"/>
      <c r="AM498"/>
      <c r="AN498"/>
    </row>
    <row r="499" spans="1:40" s="66" customFormat="1" ht="14.5">
      <c r="A499" s="186"/>
      <c r="B499" s="187"/>
      <c r="C499" s="188"/>
      <c r="D499" s="188"/>
      <c r="E499" s="189"/>
      <c r="F499" s="190"/>
      <c r="G499" s="190"/>
      <c r="H499" s="189"/>
      <c r="I499" s="189"/>
      <c r="J499" s="191"/>
      <c r="K499" s="191"/>
      <c r="L499" s="61">
        <f t="shared" si="56"/>
        <v>0</v>
      </c>
      <c r="M499" s="192"/>
      <c r="N499" s="193"/>
      <c r="O499" s="192"/>
      <c r="P499" s="194"/>
      <c r="Q499" s="195"/>
      <c r="R499" s="196"/>
      <c r="S499" s="197"/>
      <c r="T499" s="62">
        <f t="shared" si="57"/>
        <v>0</v>
      </c>
      <c r="U499" s="63">
        <f t="shared" si="58"/>
        <v>0</v>
      </c>
      <c r="V499" s="145">
        <f t="shared" si="59"/>
        <v>0</v>
      </c>
      <c r="W499" s="198"/>
      <c r="X499" s="1379"/>
      <c r="Y499" s="1380"/>
      <c r="Z499" s="62">
        <f t="shared" si="60"/>
        <v>0</v>
      </c>
      <c r="AA499" s="146">
        <f t="shared" si="61"/>
        <v>0</v>
      </c>
      <c r="AB499" s="198"/>
      <c r="AC499" s="1379"/>
      <c r="AD499" s="1380"/>
      <c r="AE499" s="62">
        <f t="shared" si="62"/>
        <v>0</v>
      </c>
      <c r="AF499" s="148">
        <f t="shared" si="63"/>
        <v>0</v>
      </c>
      <c r="AG499" s="198"/>
      <c r="AH499" s="1379"/>
      <c r="AI499" s="1380"/>
      <c r="AJ499"/>
      <c r="AK499"/>
      <c r="AL499"/>
      <c r="AM499"/>
      <c r="AN499"/>
    </row>
    <row r="500" spans="1:40" s="66" customFormat="1" ht="14.5">
      <c r="A500" s="186"/>
      <c r="B500" s="187"/>
      <c r="C500" s="188"/>
      <c r="D500" s="188"/>
      <c r="E500" s="189"/>
      <c r="F500" s="190"/>
      <c r="G500" s="190"/>
      <c r="H500" s="189"/>
      <c r="I500" s="189"/>
      <c r="J500" s="191"/>
      <c r="K500" s="191"/>
      <c r="L500" s="61">
        <f t="shared" si="56"/>
        <v>0</v>
      </c>
      <c r="M500" s="192"/>
      <c r="N500" s="193"/>
      <c r="O500" s="192"/>
      <c r="P500" s="194"/>
      <c r="Q500" s="195"/>
      <c r="R500" s="196"/>
      <c r="S500" s="197"/>
      <c r="T500" s="62">
        <f t="shared" si="57"/>
        <v>0</v>
      </c>
      <c r="U500" s="63">
        <f t="shared" si="58"/>
        <v>0</v>
      </c>
      <c r="V500" s="145">
        <f t="shared" si="59"/>
        <v>0</v>
      </c>
      <c r="W500" s="198"/>
      <c r="X500" s="1379"/>
      <c r="Y500" s="1380"/>
      <c r="Z500" s="62">
        <f t="shared" si="60"/>
        <v>0</v>
      </c>
      <c r="AA500" s="146">
        <f t="shared" si="61"/>
        <v>0</v>
      </c>
      <c r="AB500" s="198"/>
      <c r="AC500" s="1379"/>
      <c r="AD500" s="1380"/>
      <c r="AE500" s="62">
        <f t="shared" si="62"/>
        <v>0</v>
      </c>
      <c r="AF500" s="148">
        <f t="shared" si="63"/>
        <v>0</v>
      </c>
      <c r="AG500" s="198"/>
      <c r="AH500" s="1379"/>
      <c r="AI500" s="1380"/>
      <c r="AJ500"/>
      <c r="AK500"/>
      <c r="AL500"/>
      <c r="AM500"/>
      <c r="AN500"/>
    </row>
    <row r="501" spans="1:40" s="66" customFormat="1" ht="14.5">
      <c r="A501" s="186"/>
      <c r="B501" s="187"/>
      <c r="C501" s="188"/>
      <c r="D501" s="188"/>
      <c r="E501" s="189"/>
      <c r="F501" s="190"/>
      <c r="G501" s="190"/>
      <c r="H501" s="189"/>
      <c r="I501" s="189"/>
      <c r="J501" s="191"/>
      <c r="K501" s="191"/>
      <c r="L501" s="61">
        <f t="shared" si="56"/>
        <v>0</v>
      </c>
      <c r="M501" s="192"/>
      <c r="N501" s="193"/>
      <c r="O501" s="192"/>
      <c r="P501" s="194"/>
      <c r="Q501" s="195"/>
      <c r="R501" s="196"/>
      <c r="S501" s="197"/>
      <c r="T501" s="62">
        <f t="shared" si="57"/>
        <v>0</v>
      </c>
      <c r="U501" s="63">
        <f t="shared" si="58"/>
        <v>0</v>
      </c>
      <c r="V501" s="145">
        <f t="shared" si="59"/>
        <v>0</v>
      </c>
      <c r="W501" s="198"/>
      <c r="X501" s="1379"/>
      <c r="Y501" s="1380"/>
      <c r="Z501" s="62">
        <f t="shared" si="60"/>
        <v>0</v>
      </c>
      <c r="AA501" s="146">
        <f t="shared" si="61"/>
        <v>0</v>
      </c>
      <c r="AB501" s="198"/>
      <c r="AC501" s="1379"/>
      <c r="AD501" s="1380"/>
      <c r="AE501" s="62">
        <f t="shared" si="62"/>
        <v>0</v>
      </c>
      <c r="AF501" s="148">
        <f t="shared" si="63"/>
        <v>0</v>
      </c>
      <c r="AG501" s="198"/>
      <c r="AH501" s="1379"/>
      <c r="AI501" s="1380"/>
      <c r="AJ501"/>
      <c r="AK501"/>
      <c r="AL501"/>
      <c r="AM501"/>
      <c r="AN501"/>
    </row>
    <row r="502" spans="1:40" s="66" customFormat="1" ht="14.5">
      <c r="A502" s="186"/>
      <c r="B502" s="187"/>
      <c r="C502" s="188"/>
      <c r="D502" s="188"/>
      <c r="E502" s="189"/>
      <c r="F502" s="190"/>
      <c r="G502" s="190"/>
      <c r="H502" s="189"/>
      <c r="I502" s="189"/>
      <c r="J502" s="191"/>
      <c r="K502" s="191"/>
      <c r="L502" s="61">
        <f t="shared" si="56"/>
        <v>0</v>
      </c>
      <c r="M502" s="192"/>
      <c r="N502" s="193"/>
      <c r="O502" s="192"/>
      <c r="P502" s="194"/>
      <c r="Q502" s="195"/>
      <c r="R502" s="196"/>
      <c r="S502" s="197"/>
      <c r="T502" s="62">
        <f t="shared" si="57"/>
        <v>0</v>
      </c>
      <c r="U502" s="63">
        <f t="shared" si="58"/>
        <v>0</v>
      </c>
      <c r="V502" s="145">
        <f t="shared" si="59"/>
        <v>0</v>
      </c>
      <c r="W502" s="198"/>
      <c r="X502" s="1379"/>
      <c r="Y502" s="1380"/>
      <c r="Z502" s="62">
        <f t="shared" si="60"/>
        <v>0</v>
      </c>
      <c r="AA502" s="146">
        <f t="shared" si="61"/>
        <v>0</v>
      </c>
      <c r="AB502" s="198"/>
      <c r="AC502" s="1379"/>
      <c r="AD502" s="1380"/>
      <c r="AE502" s="62">
        <f t="shared" si="62"/>
        <v>0</v>
      </c>
      <c r="AF502" s="148">
        <f t="shared" si="63"/>
        <v>0</v>
      </c>
      <c r="AG502" s="198"/>
      <c r="AH502" s="1379"/>
      <c r="AI502" s="1380"/>
      <c r="AJ502"/>
      <c r="AK502"/>
      <c r="AL502"/>
      <c r="AM502"/>
      <c r="AN502"/>
    </row>
    <row r="503" spans="1:40" s="66" customFormat="1" ht="14.5">
      <c r="A503" s="186"/>
      <c r="B503" s="187"/>
      <c r="C503" s="188"/>
      <c r="D503" s="188"/>
      <c r="E503" s="189"/>
      <c r="F503" s="190"/>
      <c r="G503" s="190"/>
      <c r="H503" s="189"/>
      <c r="I503" s="189"/>
      <c r="J503" s="191"/>
      <c r="K503" s="191"/>
      <c r="L503" s="61">
        <f t="shared" si="56"/>
        <v>0</v>
      </c>
      <c r="M503" s="192"/>
      <c r="N503" s="193"/>
      <c r="O503" s="192"/>
      <c r="P503" s="194"/>
      <c r="Q503" s="195"/>
      <c r="R503" s="196"/>
      <c r="S503" s="197"/>
      <c r="T503" s="62">
        <f t="shared" si="57"/>
        <v>0</v>
      </c>
      <c r="U503" s="63">
        <f t="shared" si="58"/>
        <v>0</v>
      </c>
      <c r="V503" s="145">
        <f t="shared" si="59"/>
        <v>0</v>
      </c>
      <c r="W503" s="198"/>
      <c r="X503" s="1379"/>
      <c r="Y503" s="1380"/>
      <c r="Z503" s="62">
        <f t="shared" si="60"/>
        <v>0</v>
      </c>
      <c r="AA503" s="146">
        <f t="shared" si="61"/>
        <v>0</v>
      </c>
      <c r="AB503" s="198"/>
      <c r="AC503" s="1379"/>
      <c r="AD503" s="1380"/>
      <c r="AE503" s="62">
        <f t="shared" si="62"/>
        <v>0</v>
      </c>
      <c r="AF503" s="148">
        <f t="shared" si="63"/>
        <v>0</v>
      </c>
      <c r="AG503" s="198"/>
      <c r="AH503" s="1379"/>
      <c r="AI503" s="1380"/>
      <c r="AJ503"/>
      <c r="AK503"/>
      <c r="AL503"/>
      <c r="AM503"/>
      <c r="AN503"/>
    </row>
    <row r="504" spans="1:40" s="66" customFormat="1" ht="14.5">
      <c r="A504" s="186"/>
      <c r="B504" s="187"/>
      <c r="C504" s="188"/>
      <c r="D504" s="188"/>
      <c r="E504" s="189"/>
      <c r="F504" s="190"/>
      <c r="G504" s="190"/>
      <c r="H504" s="189"/>
      <c r="I504" s="189"/>
      <c r="J504" s="191"/>
      <c r="K504" s="191"/>
      <c r="L504" s="61">
        <f t="shared" si="56"/>
        <v>0</v>
      </c>
      <c r="M504" s="192"/>
      <c r="N504" s="193"/>
      <c r="O504" s="192"/>
      <c r="P504" s="194"/>
      <c r="Q504" s="195"/>
      <c r="R504" s="196"/>
      <c r="S504" s="197"/>
      <c r="T504" s="62">
        <f t="shared" si="57"/>
        <v>0</v>
      </c>
      <c r="U504" s="63">
        <f t="shared" si="58"/>
        <v>0</v>
      </c>
      <c r="V504" s="145">
        <f t="shared" si="59"/>
        <v>0</v>
      </c>
      <c r="W504" s="198"/>
      <c r="X504" s="1379"/>
      <c r="Y504" s="1380"/>
      <c r="Z504" s="62">
        <f t="shared" si="60"/>
        <v>0</v>
      </c>
      <c r="AA504" s="146">
        <f t="shared" si="61"/>
        <v>0</v>
      </c>
      <c r="AB504" s="198"/>
      <c r="AC504" s="1379"/>
      <c r="AD504" s="1380"/>
      <c r="AE504" s="62">
        <f t="shared" si="62"/>
        <v>0</v>
      </c>
      <c r="AF504" s="148">
        <f t="shared" si="63"/>
        <v>0</v>
      </c>
      <c r="AG504" s="198"/>
      <c r="AH504" s="1379"/>
      <c r="AI504" s="1380"/>
      <c r="AJ504"/>
      <c r="AK504"/>
      <c r="AL504"/>
      <c r="AM504"/>
      <c r="AN504"/>
    </row>
    <row r="505" spans="1:40" s="66" customFormat="1" ht="14.5">
      <c r="A505" s="186"/>
      <c r="B505" s="187"/>
      <c r="C505" s="188"/>
      <c r="D505" s="188"/>
      <c r="E505" s="189"/>
      <c r="F505" s="190"/>
      <c r="G505" s="190"/>
      <c r="H505" s="189"/>
      <c r="I505" s="189"/>
      <c r="J505" s="191"/>
      <c r="K505" s="191"/>
      <c r="L505" s="61">
        <f t="shared" si="56"/>
        <v>0</v>
      </c>
      <c r="M505" s="192"/>
      <c r="N505" s="193"/>
      <c r="O505" s="192"/>
      <c r="P505" s="194"/>
      <c r="Q505" s="195"/>
      <c r="R505" s="196"/>
      <c r="S505" s="197"/>
      <c r="T505" s="62">
        <f t="shared" si="57"/>
        <v>0</v>
      </c>
      <c r="U505" s="63">
        <f t="shared" si="58"/>
        <v>0</v>
      </c>
      <c r="V505" s="145">
        <f t="shared" si="59"/>
        <v>0</v>
      </c>
      <c r="W505" s="198"/>
      <c r="X505" s="1379"/>
      <c r="Y505" s="1380"/>
      <c r="Z505" s="62">
        <f t="shared" si="60"/>
        <v>0</v>
      </c>
      <c r="AA505" s="146">
        <f t="shared" si="61"/>
        <v>0</v>
      </c>
      <c r="AB505" s="198"/>
      <c r="AC505" s="1379"/>
      <c r="AD505" s="1380"/>
      <c r="AE505" s="62">
        <f t="shared" si="62"/>
        <v>0</v>
      </c>
      <c r="AF505" s="148">
        <f t="shared" si="63"/>
        <v>0</v>
      </c>
      <c r="AG505" s="198"/>
      <c r="AH505" s="1379"/>
      <c r="AI505" s="1380"/>
      <c r="AJ505"/>
      <c r="AK505"/>
      <c r="AL505"/>
      <c r="AM505"/>
      <c r="AN505"/>
    </row>
    <row r="506" spans="1:40" s="66" customFormat="1" ht="14.5">
      <c r="A506" s="186"/>
      <c r="B506" s="187"/>
      <c r="C506" s="188"/>
      <c r="D506" s="188"/>
      <c r="E506" s="189"/>
      <c r="F506" s="190"/>
      <c r="G506" s="190"/>
      <c r="H506" s="189"/>
      <c r="I506" s="189"/>
      <c r="J506" s="191"/>
      <c r="K506" s="191"/>
      <c r="L506" s="61">
        <f t="shared" si="56"/>
        <v>0</v>
      </c>
      <c r="M506" s="192"/>
      <c r="N506" s="193"/>
      <c r="O506" s="192"/>
      <c r="P506" s="194"/>
      <c r="Q506" s="195"/>
      <c r="R506" s="196"/>
      <c r="S506" s="197"/>
      <c r="T506" s="62">
        <f t="shared" si="57"/>
        <v>0</v>
      </c>
      <c r="U506" s="63">
        <f t="shared" si="58"/>
        <v>0</v>
      </c>
      <c r="V506" s="145">
        <f t="shared" si="59"/>
        <v>0</v>
      </c>
      <c r="W506" s="198"/>
      <c r="X506" s="1379"/>
      <c r="Y506" s="1380"/>
      <c r="Z506" s="62">
        <f t="shared" si="60"/>
        <v>0</v>
      </c>
      <c r="AA506" s="146">
        <f t="shared" si="61"/>
        <v>0</v>
      </c>
      <c r="AB506" s="198"/>
      <c r="AC506" s="1379"/>
      <c r="AD506" s="1380"/>
      <c r="AE506" s="62">
        <f t="shared" si="62"/>
        <v>0</v>
      </c>
      <c r="AF506" s="148">
        <f t="shared" si="63"/>
        <v>0</v>
      </c>
      <c r="AG506" s="198"/>
      <c r="AH506" s="1379"/>
      <c r="AI506" s="1380"/>
      <c r="AJ506"/>
      <c r="AK506"/>
      <c r="AL506"/>
      <c r="AM506"/>
      <c r="AN506"/>
    </row>
    <row r="507" spans="1:40" s="66" customFormat="1" ht="14.5">
      <c r="A507" s="186"/>
      <c r="B507" s="187"/>
      <c r="C507" s="188"/>
      <c r="D507" s="188"/>
      <c r="E507" s="189"/>
      <c r="F507" s="190"/>
      <c r="G507" s="190"/>
      <c r="H507" s="189"/>
      <c r="I507" s="189"/>
      <c r="J507" s="191"/>
      <c r="K507" s="191"/>
      <c r="L507" s="61">
        <f t="shared" si="56"/>
        <v>0</v>
      </c>
      <c r="M507" s="192"/>
      <c r="N507" s="193"/>
      <c r="O507" s="192"/>
      <c r="P507" s="194"/>
      <c r="Q507" s="195"/>
      <c r="R507" s="196"/>
      <c r="S507" s="197"/>
      <c r="T507" s="62">
        <f t="shared" si="57"/>
        <v>0</v>
      </c>
      <c r="U507" s="63">
        <f t="shared" si="58"/>
        <v>0</v>
      </c>
      <c r="V507" s="145">
        <f t="shared" si="59"/>
        <v>0</v>
      </c>
      <c r="W507" s="198"/>
      <c r="X507" s="1379"/>
      <c r="Y507" s="1380"/>
      <c r="Z507" s="62">
        <f t="shared" si="60"/>
        <v>0</v>
      </c>
      <c r="AA507" s="146">
        <f t="shared" si="61"/>
        <v>0</v>
      </c>
      <c r="AB507" s="198"/>
      <c r="AC507" s="1379"/>
      <c r="AD507" s="1380"/>
      <c r="AE507" s="62">
        <f t="shared" si="62"/>
        <v>0</v>
      </c>
      <c r="AF507" s="148">
        <f t="shared" si="63"/>
        <v>0</v>
      </c>
      <c r="AG507" s="198"/>
      <c r="AH507" s="1379"/>
      <c r="AI507" s="1380"/>
      <c r="AJ507"/>
      <c r="AK507"/>
      <c r="AL507"/>
      <c r="AM507"/>
      <c r="AN507"/>
    </row>
    <row r="508" spans="1:40" s="66" customFormat="1" ht="14.5">
      <c r="A508" s="186"/>
      <c r="B508" s="187"/>
      <c r="C508" s="188"/>
      <c r="D508" s="188"/>
      <c r="E508" s="189"/>
      <c r="F508" s="190"/>
      <c r="G508" s="190"/>
      <c r="H508" s="189"/>
      <c r="I508" s="189"/>
      <c r="J508" s="191"/>
      <c r="K508" s="191"/>
      <c r="L508" s="61">
        <f t="shared" si="56"/>
        <v>0</v>
      </c>
      <c r="M508" s="192"/>
      <c r="N508" s="193"/>
      <c r="O508" s="192"/>
      <c r="P508" s="194"/>
      <c r="Q508" s="195"/>
      <c r="R508" s="196"/>
      <c r="S508" s="197"/>
      <c r="T508" s="62">
        <f t="shared" si="57"/>
        <v>0</v>
      </c>
      <c r="U508" s="63">
        <f t="shared" si="58"/>
        <v>0</v>
      </c>
      <c r="V508" s="145">
        <f t="shared" si="59"/>
        <v>0</v>
      </c>
      <c r="W508" s="198"/>
      <c r="X508" s="1379"/>
      <c r="Y508" s="1380"/>
      <c r="Z508" s="62">
        <f t="shared" si="60"/>
        <v>0</v>
      </c>
      <c r="AA508" s="146">
        <f t="shared" si="61"/>
        <v>0</v>
      </c>
      <c r="AB508" s="198"/>
      <c r="AC508" s="1379"/>
      <c r="AD508" s="1380"/>
      <c r="AE508" s="62">
        <f t="shared" si="62"/>
        <v>0</v>
      </c>
      <c r="AF508" s="148">
        <f t="shared" si="63"/>
        <v>0</v>
      </c>
      <c r="AG508" s="198"/>
      <c r="AH508" s="1379"/>
      <c r="AI508" s="1380"/>
      <c r="AJ508"/>
      <c r="AK508"/>
      <c r="AL508"/>
      <c r="AM508"/>
      <c r="AN508"/>
    </row>
    <row r="509" spans="1:40" s="66" customFormat="1" ht="14.5">
      <c r="A509" s="186"/>
      <c r="B509" s="187"/>
      <c r="C509" s="188"/>
      <c r="D509" s="188"/>
      <c r="E509" s="189"/>
      <c r="F509" s="190"/>
      <c r="G509" s="190"/>
      <c r="H509" s="189"/>
      <c r="I509" s="189"/>
      <c r="J509" s="191"/>
      <c r="K509" s="191"/>
      <c r="L509" s="61">
        <f t="shared" si="56"/>
        <v>0</v>
      </c>
      <c r="M509" s="192"/>
      <c r="N509" s="193"/>
      <c r="O509" s="192"/>
      <c r="P509" s="194"/>
      <c r="Q509" s="195"/>
      <c r="R509" s="196"/>
      <c r="S509" s="197"/>
      <c r="T509" s="62">
        <f t="shared" si="57"/>
        <v>0</v>
      </c>
      <c r="U509" s="63">
        <f t="shared" si="58"/>
        <v>0</v>
      </c>
      <c r="V509" s="145">
        <f t="shared" si="59"/>
        <v>0</v>
      </c>
      <c r="W509" s="198"/>
      <c r="X509" s="1379"/>
      <c r="Y509" s="1380"/>
      <c r="Z509" s="62">
        <f t="shared" si="60"/>
        <v>0</v>
      </c>
      <c r="AA509" s="146">
        <f t="shared" si="61"/>
        <v>0</v>
      </c>
      <c r="AB509" s="198"/>
      <c r="AC509" s="1379"/>
      <c r="AD509" s="1380"/>
      <c r="AE509" s="62">
        <f t="shared" si="62"/>
        <v>0</v>
      </c>
      <c r="AF509" s="148">
        <f t="shared" si="63"/>
        <v>0</v>
      </c>
      <c r="AG509" s="198"/>
      <c r="AH509" s="1379"/>
      <c r="AI509" s="1380"/>
      <c r="AJ509"/>
      <c r="AK509"/>
      <c r="AL509"/>
      <c r="AM509"/>
      <c r="AN509"/>
    </row>
    <row r="510" spans="1:40" s="66" customFormat="1" ht="14.5">
      <c r="A510" s="186"/>
      <c r="B510" s="187"/>
      <c r="C510" s="188"/>
      <c r="D510" s="188"/>
      <c r="E510" s="189"/>
      <c r="F510" s="190"/>
      <c r="G510" s="190"/>
      <c r="H510" s="189"/>
      <c r="I510" s="189"/>
      <c r="J510" s="191"/>
      <c r="K510" s="191"/>
      <c r="L510" s="61">
        <f t="shared" si="56"/>
        <v>0</v>
      </c>
      <c r="M510" s="192"/>
      <c r="N510" s="193"/>
      <c r="O510" s="192"/>
      <c r="P510" s="194"/>
      <c r="Q510" s="195"/>
      <c r="R510" s="196"/>
      <c r="S510" s="197"/>
      <c r="T510" s="62">
        <f t="shared" si="57"/>
        <v>0</v>
      </c>
      <c r="U510" s="63">
        <f t="shared" si="58"/>
        <v>0</v>
      </c>
      <c r="V510" s="145">
        <f t="shared" si="59"/>
        <v>0</v>
      </c>
      <c r="W510" s="198"/>
      <c r="X510" s="1379"/>
      <c r="Y510" s="1380"/>
      <c r="Z510" s="62">
        <f t="shared" si="60"/>
        <v>0</v>
      </c>
      <c r="AA510" s="146">
        <f t="shared" si="61"/>
        <v>0</v>
      </c>
      <c r="AB510" s="198"/>
      <c r="AC510" s="1379"/>
      <c r="AD510" s="1380"/>
      <c r="AE510" s="62">
        <f t="shared" si="62"/>
        <v>0</v>
      </c>
      <c r="AF510" s="148">
        <f t="shared" si="63"/>
        <v>0</v>
      </c>
      <c r="AG510" s="198"/>
      <c r="AH510" s="1379"/>
      <c r="AI510" s="1380"/>
      <c r="AJ510"/>
      <c r="AK510"/>
      <c r="AL510"/>
      <c r="AM510"/>
      <c r="AN510"/>
    </row>
    <row r="511" spans="1:40" s="66" customFormat="1" ht="14.5">
      <c r="A511" s="186"/>
      <c r="B511" s="187"/>
      <c r="C511" s="188"/>
      <c r="D511" s="188"/>
      <c r="E511" s="189"/>
      <c r="F511" s="190"/>
      <c r="G511" s="190"/>
      <c r="H511" s="189"/>
      <c r="I511" s="189"/>
      <c r="J511" s="191"/>
      <c r="K511" s="191"/>
      <c r="L511" s="61">
        <f t="shared" si="56"/>
        <v>0</v>
      </c>
      <c r="M511" s="192"/>
      <c r="N511" s="193"/>
      <c r="O511" s="192"/>
      <c r="P511" s="194"/>
      <c r="Q511" s="195"/>
      <c r="R511" s="196"/>
      <c r="S511" s="197"/>
      <c r="T511" s="62">
        <f t="shared" si="57"/>
        <v>0</v>
      </c>
      <c r="U511" s="63">
        <f t="shared" si="58"/>
        <v>0</v>
      </c>
      <c r="V511" s="145">
        <f t="shared" si="59"/>
        <v>0</v>
      </c>
      <c r="W511" s="198"/>
      <c r="X511" s="1379"/>
      <c r="Y511" s="1380"/>
      <c r="Z511" s="62">
        <f t="shared" si="60"/>
        <v>0</v>
      </c>
      <c r="AA511" s="146">
        <f t="shared" si="61"/>
        <v>0</v>
      </c>
      <c r="AB511" s="198"/>
      <c r="AC511" s="1379"/>
      <c r="AD511" s="1380"/>
      <c r="AE511" s="62">
        <f t="shared" si="62"/>
        <v>0</v>
      </c>
      <c r="AF511" s="148">
        <f t="shared" si="63"/>
        <v>0</v>
      </c>
      <c r="AG511" s="198"/>
      <c r="AH511" s="1379"/>
      <c r="AI511" s="1380"/>
      <c r="AJ511"/>
      <c r="AK511"/>
      <c r="AL511"/>
      <c r="AM511"/>
      <c r="AN511"/>
    </row>
    <row r="512" spans="1:40" s="66" customFormat="1" ht="14.5">
      <c r="A512" s="186"/>
      <c r="B512" s="187"/>
      <c r="C512" s="188"/>
      <c r="D512" s="188"/>
      <c r="E512" s="189"/>
      <c r="F512" s="190"/>
      <c r="G512" s="190"/>
      <c r="H512" s="189"/>
      <c r="I512" s="189"/>
      <c r="J512" s="191"/>
      <c r="K512" s="191"/>
      <c r="L512" s="61">
        <f t="shared" si="56"/>
        <v>0</v>
      </c>
      <c r="M512" s="192"/>
      <c r="N512" s="193"/>
      <c r="O512" s="192"/>
      <c r="P512" s="194"/>
      <c r="Q512" s="195"/>
      <c r="R512" s="196"/>
      <c r="S512" s="197"/>
      <c r="T512" s="62">
        <f t="shared" si="57"/>
        <v>0</v>
      </c>
      <c r="U512" s="63">
        <f t="shared" si="58"/>
        <v>0</v>
      </c>
      <c r="V512" s="145">
        <f t="shared" si="59"/>
        <v>0</v>
      </c>
      <c r="W512" s="198"/>
      <c r="X512" s="1379"/>
      <c r="Y512" s="1380"/>
      <c r="Z512" s="62">
        <f t="shared" si="60"/>
        <v>0</v>
      </c>
      <c r="AA512" s="146">
        <f t="shared" si="61"/>
        <v>0</v>
      </c>
      <c r="AB512" s="198"/>
      <c r="AC512" s="1379"/>
      <c r="AD512" s="1380"/>
      <c r="AE512" s="62">
        <f t="shared" si="62"/>
        <v>0</v>
      </c>
      <c r="AF512" s="148">
        <f t="shared" si="63"/>
        <v>0</v>
      </c>
      <c r="AG512" s="198"/>
      <c r="AH512" s="1379"/>
      <c r="AI512" s="1380"/>
      <c r="AJ512"/>
      <c r="AK512"/>
      <c r="AL512"/>
      <c r="AM512"/>
      <c r="AN512"/>
    </row>
    <row r="513" spans="1:40" s="66" customFormat="1" ht="14.5">
      <c r="A513" s="186"/>
      <c r="B513" s="187"/>
      <c r="C513" s="188"/>
      <c r="D513" s="188"/>
      <c r="E513" s="189"/>
      <c r="F513" s="190"/>
      <c r="G513" s="190"/>
      <c r="H513" s="189"/>
      <c r="I513" s="189"/>
      <c r="J513" s="191"/>
      <c r="K513" s="191"/>
      <c r="L513" s="61">
        <f t="shared" si="56"/>
        <v>0</v>
      </c>
      <c r="M513" s="192"/>
      <c r="N513" s="193"/>
      <c r="O513" s="192"/>
      <c r="P513" s="194"/>
      <c r="Q513" s="195"/>
      <c r="R513" s="196"/>
      <c r="S513" s="197"/>
      <c r="T513" s="62">
        <f t="shared" si="57"/>
        <v>0</v>
      </c>
      <c r="U513" s="63">
        <f t="shared" si="58"/>
        <v>0</v>
      </c>
      <c r="V513" s="145">
        <f t="shared" si="59"/>
        <v>0</v>
      </c>
      <c r="W513" s="198"/>
      <c r="X513" s="1379"/>
      <c r="Y513" s="1380"/>
      <c r="Z513" s="62">
        <f t="shared" si="60"/>
        <v>0</v>
      </c>
      <c r="AA513" s="146">
        <f t="shared" si="61"/>
        <v>0</v>
      </c>
      <c r="AB513" s="198"/>
      <c r="AC513" s="1379"/>
      <c r="AD513" s="1380"/>
      <c r="AE513" s="62">
        <f t="shared" si="62"/>
        <v>0</v>
      </c>
      <c r="AF513" s="148">
        <f t="shared" si="63"/>
        <v>0</v>
      </c>
      <c r="AG513" s="198"/>
      <c r="AH513" s="1379"/>
      <c r="AI513" s="1380"/>
      <c r="AJ513"/>
      <c r="AK513"/>
      <c r="AL513"/>
      <c r="AM513"/>
      <c r="AN513"/>
    </row>
  </sheetData>
  <sheetProtection algorithmName="SHA-512" hashValue="K4JH2x7X4zzvNIjeEe/0BuqcC9QQngaFyBCUiWR9Eaol7FSYHalUiKQ96xnedoctLEhdEWUc2OziXiXz5CNm8g==" saltValue="pH5vrZuuqyRQrIhku1Yn5Q==" spinCount="100000" sheet="1" objects="1" scenarios="1" selectLockedCells="1"/>
  <customSheetViews>
    <customSheetView guid="{E1D23BD2-FE11-448B-A102-D2461140BE5A}">
      <pane ySplit="11.32484076433121" topLeftCell="A13" activePane="bottomLeft" state="frozen"/>
      <selection pane="bottomLeft" activeCell="A13" sqref="A13"/>
      <pageMargins left="0.25" right="0.25" top="0.75" bottom="0.75" header="0.25" footer="0.25"/>
      <printOptions horizontalCentered="1"/>
      <pageSetup scale="41" fitToHeight="18" orientation="landscape" r:id="rId1"/>
      <headerFooter>
        <oddHeader>&amp;L&amp;"Arial,Regular"&amp;8Texas Department of Aging
and Disability Services&amp;C&amp;"Arial,Bold"&amp;12ADULT FOSTER CARE
AFC REIMBURSEMENT&amp;R&amp;"Arial,Regular"&amp;8Form TBD
Page &amp;P</oddHeader>
      </headerFooter>
    </customSheetView>
    <customSheetView guid="{B71FF06E-B5A8-4FBF-B20E-2B604DE9BFBD}">
      <pane ySplit="11.885714285714286" topLeftCell="A13" activePane="bottomLeft" state="frozen"/>
      <selection pane="bottomLeft" activeCell="A13" sqref="A13"/>
      <pageMargins left="0.25" right="0.25" top="0.75" bottom="0.75" header="0.25" footer="0.25"/>
      <printOptions horizontalCentered="1"/>
      <pageSetup scale="41" fitToHeight="18" orientation="landscape" r:id="rId2"/>
      <headerFooter>
        <oddHeader>&amp;L&amp;"Arial,Regular"&amp;8Texas Department of Aging
and Disability Services&amp;C&amp;"Arial,Bold"&amp;12ADULT FOSTER CARE
AFC REIMBURSEMENT&amp;R&amp;"Arial,Regular"&amp;8Form TBD
Page &amp;P</oddHeader>
      </headerFooter>
    </customSheetView>
  </customSheetViews>
  <mergeCells count="1563">
    <mergeCell ref="X513:Y513"/>
    <mergeCell ref="AC513:AD513"/>
    <mergeCell ref="AH513:AI513"/>
    <mergeCell ref="X508:Y508"/>
    <mergeCell ref="AC508:AD508"/>
    <mergeCell ref="AH508:AI508"/>
    <mergeCell ref="X509:Y509"/>
    <mergeCell ref="AC509:AD509"/>
    <mergeCell ref="AH509:AI509"/>
    <mergeCell ref="X510:Y510"/>
    <mergeCell ref="AC510:AD510"/>
    <mergeCell ref="AH510:AI510"/>
    <mergeCell ref="X507:Y507"/>
    <mergeCell ref="AC507:AD507"/>
    <mergeCell ref="AH507:AI507"/>
    <mergeCell ref="X502:Y502"/>
    <mergeCell ref="AC502:AD502"/>
    <mergeCell ref="AH502:AI502"/>
    <mergeCell ref="X503:Y503"/>
    <mergeCell ref="AC503:AD503"/>
    <mergeCell ref="AH503:AI503"/>
    <mergeCell ref="X504:Y504"/>
    <mergeCell ref="AC504:AD504"/>
    <mergeCell ref="AH504:AI504"/>
    <mergeCell ref="X511:Y511"/>
    <mergeCell ref="AC511:AD511"/>
    <mergeCell ref="AH511:AI511"/>
    <mergeCell ref="X512:Y512"/>
    <mergeCell ref="AC512:AD512"/>
    <mergeCell ref="AH512:AI512"/>
    <mergeCell ref="X501:Y501"/>
    <mergeCell ref="AC501:AD501"/>
    <mergeCell ref="AH501:AI501"/>
    <mergeCell ref="X496:Y496"/>
    <mergeCell ref="AC496:AD496"/>
    <mergeCell ref="AH496:AI496"/>
    <mergeCell ref="X497:Y497"/>
    <mergeCell ref="AC497:AD497"/>
    <mergeCell ref="AH497:AI497"/>
    <mergeCell ref="X498:Y498"/>
    <mergeCell ref="AC498:AD498"/>
    <mergeCell ref="AH498:AI498"/>
    <mergeCell ref="X505:Y505"/>
    <mergeCell ref="AC505:AD505"/>
    <mergeCell ref="AH505:AI505"/>
    <mergeCell ref="X506:Y506"/>
    <mergeCell ref="AC506:AD506"/>
    <mergeCell ref="AH506:AI506"/>
    <mergeCell ref="X495:Y495"/>
    <mergeCell ref="AC495:AD495"/>
    <mergeCell ref="AH495:AI495"/>
    <mergeCell ref="X490:Y490"/>
    <mergeCell ref="AC490:AD490"/>
    <mergeCell ref="AH490:AI490"/>
    <mergeCell ref="X491:Y491"/>
    <mergeCell ref="AC491:AD491"/>
    <mergeCell ref="AH491:AI491"/>
    <mergeCell ref="X492:Y492"/>
    <mergeCell ref="AC492:AD492"/>
    <mergeCell ref="AH492:AI492"/>
    <mergeCell ref="X499:Y499"/>
    <mergeCell ref="AC499:AD499"/>
    <mergeCell ref="AH499:AI499"/>
    <mergeCell ref="X500:Y500"/>
    <mergeCell ref="AC500:AD500"/>
    <mergeCell ref="AH500:AI500"/>
    <mergeCell ref="X489:Y489"/>
    <mergeCell ref="AC489:AD489"/>
    <mergeCell ref="AH489:AI489"/>
    <mergeCell ref="X484:Y484"/>
    <mergeCell ref="AC484:AD484"/>
    <mergeCell ref="AH484:AI484"/>
    <mergeCell ref="X485:Y485"/>
    <mergeCell ref="AC485:AD485"/>
    <mergeCell ref="AH485:AI485"/>
    <mergeCell ref="X486:Y486"/>
    <mergeCell ref="AC486:AD486"/>
    <mergeCell ref="AH486:AI486"/>
    <mergeCell ref="X493:Y493"/>
    <mergeCell ref="AC493:AD493"/>
    <mergeCell ref="AH493:AI493"/>
    <mergeCell ref="X494:Y494"/>
    <mergeCell ref="AC494:AD494"/>
    <mergeCell ref="AH494:AI494"/>
    <mergeCell ref="X483:Y483"/>
    <mergeCell ref="AC483:AD483"/>
    <mergeCell ref="AH483:AI483"/>
    <mergeCell ref="X478:Y478"/>
    <mergeCell ref="AC478:AD478"/>
    <mergeCell ref="AH478:AI478"/>
    <mergeCell ref="X479:Y479"/>
    <mergeCell ref="AC479:AD479"/>
    <mergeCell ref="AH479:AI479"/>
    <mergeCell ref="X480:Y480"/>
    <mergeCell ref="AC480:AD480"/>
    <mergeCell ref="AH480:AI480"/>
    <mergeCell ref="X487:Y487"/>
    <mergeCell ref="AC487:AD487"/>
    <mergeCell ref="AH487:AI487"/>
    <mergeCell ref="X488:Y488"/>
    <mergeCell ref="AC488:AD488"/>
    <mergeCell ref="AH488:AI488"/>
    <mergeCell ref="X477:Y477"/>
    <mergeCell ref="AC477:AD477"/>
    <mergeCell ref="AH477:AI477"/>
    <mergeCell ref="X472:Y472"/>
    <mergeCell ref="AC472:AD472"/>
    <mergeCell ref="AH472:AI472"/>
    <mergeCell ref="X473:Y473"/>
    <mergeCell ref="AC473:AD473"/>
    <mergeCell ref="AH473:AI473"/>
    <mergeCell ref="X474:Y474"/>
    <mergeCell ref="AC474:AD474"/>
    <mergeCell ref="AH474:AI474"/>
    <mergeCell ref="X481:Y481"/>
    <mergeCell ref="AC481:AD481"/>
    <mergeCell ref="AH481:AI481"/>
    <mergeCell ref="X482:Y482"/>
    <mergeCell ref="AC482:AD482"/>
    <mergeCell ref="AH482:AI482"/>
    <mergeCell ref="X471:Y471"/>
    <mergeCell ref="AC471:AD471"/>
    <mergeCell ref="AH471:AI471"/>
    <mergeCell ref="X466:Y466"/>
    <mergeCell ref="AC466:AD466"/>
    <mergeCell ref="AH466:AI466"/>
    <mergeCell ref="X467:Y467"/>
    <mergeCell ref="AC467:AD467"/>
    <mergeCell ref="AH467:AI467"/>
    <mergeCell ref="X468:Y468"/>
    <mergeCell ref="AC468:AD468"/>
    <mergeCell ref="AH468:AI468"/>
    <mergeCell ref="X475:Y475"/>
    <mergeCell ref="AC475:AD475"/>
    <mergeCell ref="AH475:AI475"/>
    <mergeCell ref="X476:Y476"/>
    <mergeCell ref="AC476:AD476"/>
    <mergeCell ref="AH476:AI476"/>
    <mergeCell ref="X465:Y465"/>
    <mergeCell ref="AC465:AD465"/>
    <mergeCell ref="AH465:AI465"/>
    <mergeCell ref="X460:Y460"/>
    <mergeCell ref="AC460:AD460"/>
    <mergeCell ref="AH460:AI460"/>
    <mergeCell ref="X461:Y461"/>
    <mergeCell ref="AC461:AD461"/>
    <mergeCell ref="AH461:AI461"/>
    <mergeCell ref="X462:Y462"/>
    <mergeCell ref="AC462:AD462"/>
    <mergeCell ref="AH462:AI462"/>
    <mergeCell ref="X469:Y469"/>
    <mergeCell ref="AC469:AD469"/>
    <mergeCell ref="AH469:AI469"/>
    <mergeCell ref="X470:Y470"/>
    <mergeCell ref="AC470:AD470"/>
    <mergeCell ref="AH470:AI470"/>
    <mergeCell ref="X459:Y459"/>
    <mergeCell ref="AC459:AD459"/>
    <mergeCell ref="AH459:AI459"/>
    <mergeCell ref="X454:Y454"/>
    <mergeCell ref="AC454:AD454"/>
    <mergeCell ref="AH454:AI454"/>
    <mergeCell ref="X455:Y455"/>
    <mergeCell ref="AC455:AD455"/>
    <mergeCell ref="AH455:AI455"/>
    <mergeCell ref="X456:Y456"/>
    <mergeCell ref="AC456:AD456"/>
    <mergeCell ref="AH456:AI456"/>
    <mergeCell ref="X463:Y463"/>
    <mergeCell ref="AC463:AD463"/>
    <mergeCell ref="AH463:AI463"/>
    <mergeCell ref="X464:Y464"/>
    <mergeCell ref="AC464:AD464"/>
    <mergeCell ref="AH464:AI464"/>
    <mergeCell ref="X453:Y453"/>
    <mergeCell ref="AC453:AD453"/>
    <mergeCell ref="AH453:AI453"/>
    <mergeCell ref="X448:Y448"/>
    <mergeCell ref="AC448:AD448"/>
    <mergeCell ref="AH448:AI448"/>
    <mergeCell ref="X449:Y449"/>
    <mergeCell ref="AC449:AD449"/>
    <mergeCell ref="AH449:AI449"/>
    <mergeCell ref="X450:Y450"/>
    <mergeCell ref="AC450:AD450"/>
    <mergeCell ref="AH450:AI450"/>
    <mergeCell ref="X457:Y457"/>
    <mergeCell ref="AC457:AD457"/>
    <mergeCell ref="AH457:AI457"/>
    <mergeCell ref="X458:Y458"/>
    <mergeCell ref="AC458:AD458"/>
    <mergeCell ref="AH458:AI458"/>
    <mergeCell ref="X447:Y447"/>
    <mergeCell ref="AC447:AD447"/>
    <mergeCell ref="AH447:AI447"/>
    <mergeCell ref="X442:Y442"/>
    <mergeCell ref="AC442:AD442"/>
    <mergeCell ref="AH442:AI442"/>
    <mergeCell ref="X443:Y443"/>
    <mergeCell ref="AC443:AD443"/>
    <mergeCell ref="AH443:AI443"/>
    <mergeCell ref="X444:Y444"/>
    <mergeCell ref="AC444:AD444"/>
    <mergeCell ref="AH444:AI444"/>
    <mergeCell ref="X451:Y451"/>
    <mergeCell ref="AC451:AD451"/>
    <mergeCell ref="AH451:AI451"/>
    <mergeCell ref="X452:Y452"/>
    <mergeCell ref="AC452:AD452"/>
    <mergeCell ref="AH452:AI452"/>
    <mergeCell ref="X441:Y441"/>
    <mergeCell ref="AC441:AD441"/>
    <mergeCell ref="AH441:AI441"/>
    <mergeCell ref="X436:Y436"/>
    <mergeCell ref="AC436:AD436"/>
    <mergeCell ref="AH436:AI436"/>
    <mergeCell ref="X437:Y437"/>
    <mergeCell ref="AC437:AD437"/>
    <mergeCell ref="AH437:AI437"/>
    <mergeCell ref="X438:Y438"/>
    <mergeCell ref="AC438:AD438"/>
    <mergeCell ref="AH438:AI438"/>
    <mergeCell ref="X445:Y445"/>
    <mergeCell ref="AC445:AD445"/>
    <mergeCell ref="AH445:AI445"/>
    <mergeCell ref="X446:Y446"/>
    <mergeCell ref="AC446:AD446"/>
    <mergeCell ref="AH446:AI446"/>
    <mergeCell ref="X435:Y435"/>
    <mergeCell ref="AC435:AD435"/>
    <mergeCell ref="AH435:AI435"/>
    <mergeCell ref="X430:Y430"/>
    <mergeCell ref="AC430:AD430"/>
    <mergeCell ref="AH430:AI430"/>
    <mergeCell ref="X431:Y431"/>
    <mergeCell ref="AC431:AD431"/>
    <mergeCell ref="AH431:AI431"/>
    <mergeCell ref="X432:Y432"/>
    <mergeCell ref="AC432:AD432"/>
    <mergeCell ref="AH432:AI432"/>
    <mergeCell ref="X439:Y439"/>
    <mergeCell ref="AC439:AD439"/>
    <mergeCell ref="AH439:AI439"/>
    <mergeCell ref="X440:Y440"/>
    <mergeCell ref="AC440:AD440"/>
    <mergeCell ref="AH440:AI440"/>
    <mergeCell ref="X429:Y429"/>
    <mergeCell ref="AC429:AD429"/>
    <mergeCell ref="AH429:AI429"/>
    <mergeCell ref="X424:Y424"/>
    <mergeCell ref="AC424:AD424"/>
    <mergeCell ref="AH424:AI424"/>
    <mergeCell ref="X425:Y425"/>
    <mergeCell ref="AC425:AD425"/>
    <mergeCell ref="AH425:AI425"/>
    <mergeCell ref="X426:Y426"/>
    <mergeCell ref="AC426:AD426"/>
    <mergeCell ref="AH426:AI426"/>
    <mergeCell ref="X433:Y433"/>
    <mergeCell ref="AC433:AD433"/>
    <mergeCell ref="AH433:AI433"/>
    <mergeCell ref="X434:Y434"/>
    <mergeCell ref="AC434:AD434"/>
    <mergeCell ref="AH434:AI434"/>
    <mergeCell ref="X423:Y423"/>
    <mergeCell ref="AC423:AD423"/>
    <mergeCell ref="AH423:AI423"/>
    <mergeCell ref="X418:Y418"/>
    <mergeCell ref="AC418:AD418"/>
    <mergeCell ref="AH418:AI418"/>
    <mergeCell ref="X419:Y419"/>
    <mergeCell ref="AC419:AD419"/>
    <mergeCell ref="AH419:AI419"/>
    <mergeCell ref="X420:Y420"/>
    <mergeCell ref="AC420:AD420"/>
    <mergeCell ref="AH420:AI420"/>
    <mergeCell ref="X427:Y427"/>
    <mergeCell ref="AC427:AD427"/>
    <mergeCell ref="AH427:AI427"/>
    <mergeCell ref="X428:Y428"/>
    <mergeCell ref="AC428:AD428"/>
    <mergeCell ref="AH428:AI428"/>
    <mergeCell ref="X417:Y417"/>
    <mergeCell ref="AC417:AD417"/>
    <mergeCell ref="AH417:AI417"/>
    <mergeCell ref="X412:Y412"/>
    <mergeCell ref="AC412:AD412"/>
    <mergeCell ref="AH412:AI412"/>
    <mergeCell ref="X413:Y413"/>
    <mergeCell ref="AC413:AD413"/>
    <mergeCell ref="AH413:AI413"/>
    <mergeCell ref="X414:Y414"/>
    <mergeCell ref="AC414:AD414"/>
    <mergeCell ref="AH414:AI414"/>
    <mergeCell ref="X421:Y421"/>
    <mergeCell ref="AC421:AD421"/>
    <mergeCell ref="AH421:AI421"/>
    <mergeCell ref="X422:Y422"/>
    <mergeCell ref="AC422:AD422"/>
    <mergeCell ref="AH422:AI422"/>
    <mergeCell ref="X411:Y411"/>
    <mergeCell ref="AC411:AD411"/>
    <mergeCell ref="AH411:AI411"/>
    <mergeCell ref="X406:Y406"/>
    <mergeCell ref="AC406:AD406"/>
    <mergeCell ref="AH406:AI406"/>
    <mergeCell ref="X407:Y407"/>
    <mergeCell ref="AC407:AD407"/>
    <mergeCell ref="AH407:AI407"/>
    <mergeCell ref="X408:Y408"/>
    <mergeCell ref="AC408:AD408"/>
    <mergeCell ref="AH408:AI408"/>
    <mergeCell ref="X415:Y415"/>
    <mergeCell ref="AC415:AD415"/>
    <mergeCell ref="AH415:AI415"/>
    <mergeCell ref="X416:Y416"/>
    <mergeCell ref="AC416:AD416"/>
    <mergeCell ref="AH416:AI416"/>
    <mergeCell ref="X405:Y405"/>
    <mergeCell ref="AC405:AD405"/>
    <mergeCell ref="AH405:AI405"/>
    <mergeCell ref="X400:Y400"/>
    <mergeCell ref="AC400:AD400"/>
    <mergeCell ref="AH400:AI400"/>
    <mergeCell ref="X401:Y401"/>
    <mergeCell ref="AC401:AD401"/>
    <mergeCell ref="AH401:AI401"/>
    <mergeCell ref="X402:Y402"/>
    <mergeCell ref="AC402:AD402"/>
    <mergeCell ref="AH402:AI402"/>
    <mergeCell ref="X409:Y409"/>
    <mergeCell ref="AC409:AD409"/>
    <mergeCell ref="AH409:AI409"/>
    <mergeCell ref="X410:Y410"/>
    <mergeCell ref="AC410:AD410"/>
    <mergeCell ref="AH410:AI410"/>
    <mergeCell ref="X399:Y399"/>
    <mergeCell ref="AC399:AD399"/>
    <mergeCell ref="AH399:AI399"/>
    <mergeCell ref="X394:Y394"/>
    <mergeCell ref="AC394:AD394"/>
    <mergeCell ref="AH394:AI394"/>
    <mergeCell ref="X395:Y395"/>
    <mergeCell ref="AC395:AD395"/>
    <mergeCell ref="AH395:AI395"/>
    <mergeCell ref="X396:Y396"/>
    <mergeCell ref="AC396:AD396"/>
    <mergeCell ref="AH396:AI396"/>
    <mergeCell ref="X403:Y403"/>
    <mergeCell ref="AC403:AD403"/>
    <mergeCell ref="AH403:AI403"/>
    <mergeCell ref="X404:Y404"/>
    <mergeCell ref="AC404:AD404"/>
    <mergeCell ref="AH404:AI404"/>
    <mergeCell ref="X393:Y393"/>
    <mergeCell ref="AC393:AD393"/>
    <mergeCell ref="AH393:AI393"/>
    <mergeCell ref="X388:Y388"/>
    <mergeCell ref="AC388:AD388"/>
    <mergeCell ref="AH388:AI388"/>
    <mergeCell ref="X389:Y389"/>
    <mergeCell ref="AC389:AD389"/>
    <mergeCell ref="AH389:AI389"/>
    <mergeCell ref="X390:Y390"/>
    <mergeCell ref="AC390:AD390"/>
    <mergeCell ref="AH390:AI390"/>
    <mergeCell ref="X397:Y397"/>
    <mergeCell ref="AC397:AD397"/>
    <mergeCell ref="AH397:AI397"/>
    <mergeCell ref="X398:Y398"/>
    <mergeCell ref="AC398:AD398"/>
    <mergeCell ref="AH398:AI398"/>
    <mergeCell ref="X387:Y387"/>
    <mergeCell ref="AC387:AD387"/>
    <mergeCell ref="AH387:AI387"/>
    <mergeCell ref="X382:Y382"/>
    <mergeCell ref="AC382:AD382"/>
    <mergeCell ref="AH382:AI382"/>
    <mergeCell ref="X383:Y383"/>
    <mergeCell ref="AC383:AD383"/>
    <mergeCell ref="AH383:AI383"/>
    <mergeCell ref="X384:Y384"/>
    <mergeCell ref="AC384:AD384"/>
    <mergeCell ref="AH384:AI384"/>
    <mergeCell ref="X391:Y391"/>
    <mergeCell ref="AC391:AD391"/>
    <mergeCell ref="AH391:AI391"/>
    <mergeCell ref="X392:Y392"/>
    <mergeCell ref="AC392:AD392"/>
    <mergeCell ref="AH392:AI392"/>
    <mergeCell ref="X381:Y381"/>
    <mergeCell ref="AC381:AD381"/>
    <mergeCell ref="AH381:AI381"/>
    <mergeCell ref="X376:Y376"/>
    <mergeCell ref="AC376:AD376"/>
    <mergeCell ref="AH376:AI376"/>
    <mergeCell ref="X377:Y377"/>
    <mergeCell ref="AC377:AD377"/>
    <mergeCell ref="AH377:AI377"/>
    <mergeCell ref="X378:Y378"/>
    <mergeCell ref="AC378:AD378"/>
    <mergeCell ref="AH378:AI378"/>
    <mergeCell ref="X385:Y385"/>
    <mergeCell ref="AC385:AD385"/>
    <mergeCell ref="AH385:AI385"/>
    <mergeCell ref="X386:Y386"/>
    <mergeCell ref="AC386:AD386"/>
    <mergeCell ref="AH386:AI386"/>
    <mergeCell ref="X375:Y375"/>
    <mergeCell ref="AC375:AD375"/>
    <mergeCell ref="AH375:AI375"/>
    <mergeCell ref="X370:Y370"/>
    <mergeCell ref="AC370:AD370"/>
    <mergeCell ref="AH370:AI370"/>
    <mergeCell ref="X371:Y371"/>
    <mergeCell ref="AC371:AD371"/>
    <mergeCell ref="AH371:AI371"/>
    <mergeCell ref="X372:Y372"/>
    <mergeCell ref="AC372:AD372"/>
    <mergeCell ref="AH372:AI372"/>
    <mergeCell ref="X379:Y379"/>
    <mergeCell ref="AC379:AD379"/>
    <mergeCell ref="AH379:AI379"/>
    <mergeCell ref="X380:Y380"/>
    <mergeCell ref="AC380:AD380"/>
    <mergeCell ref="AH380:AI380"/>
    <mergeCell ref="X369:Y369"/>
    <mergeCell ref="AC369:AD369"/>
    <mergeCell ref="AH369:AI369"/>
    <mergeCell ref="X364:Y364"/>
    <mergeCell ref="AC364:AD364"/>
    <mergeCell ref="AH364:AI364"/>
    <mergeCell ref="X365:Y365"/>
    <mergeCell ref="AC365:AD365"/>
    <mergeCell ref="AH365:AI365"/>
    <mergeCell ref="X366:Y366"/>
    <mergeCell ref="AC366:AD366"/>
    <mergeCell ref="AH366:AI366"/>
    <mergeCell ref="X373:Y373"/>
    <mergeCell ref="AC373:AD373"/>
    <mergeCell ref="AH373:AI373"/>
    <mergeCell ref="X374:Y374"/>
    <mergeCell ref="AC374:AD374"/>
    <mergeCell ref="AH374:AI374"/>
    <mergeCell ref="X363:Y363"/>
    <mergeCell ref="AC363:AD363"/>
    <mergeCell ref="AH363:AI363"/>
    <mergeCell ref="X358:Y358"/>
    <mergeCell ref="AC358:AD358"/>
    <mergeCell ref="AH358:AI358"/>
    <mergeCell ref="X359:Y359"/>
    <mergeCell ref="AC359:AD359"/>
    <mergeCell ref="AH359:AI359"/>
    <mergeCell ref="X360:Y360"/>
    <mergeCell ref="AC360:AD360"/>
    <mergeCell ref="AH360:AI360"/>
    <mergeCell ref="X367:Y367"/>
    <mergeCell ref="AC367:AD367"/>
    <mergeCell ref="AH367:AI367"/>
    <mergeCell ref="X368:Y368"/>
    <mergeCell ref="AC368:AD368"/>
    <mergeCell ref="AH368:AI368"/>
    <mergeCell ref="X357:Y357"/>
    <mergeCell ref="AC357:AD357"/>
    <mergeCell ref="AH357:AI357"/>
    <mergeCell ref="X352:Y352"/>
    <mergeCell ref="AC352:AD352"/>
    <mergeCell ref="AH352:AI352"/>
    <mergeCell ref="X353:Y353"/>
    <mergeCell ref="AC353:AD353"/>
    <mergeCell ref="AH353:AI353"/>
    <mergeCell ref="X354:Y354"/>
    <mergeCell ref="AC354:AD354"/>
    <mergeCell ref="AH354:AI354"/>
    <mergeCell ref="X361:Y361"/>
    <mergeCell ref="AC361:AD361"/>
    <mergeCell ref="AH361:AI361"/>
    <mergeCell ref="X362:Y362"/>
    <mergeCell ref="AC362:AD362"/>
    <mergeCell ref="AH362:AI362"/>
    <mergeCell ref="X351:Y351"/>
    <mergeCell ref="AC351:AD351"/>
    <mergeCell ref="AH351:AI351"/>
    <mergeCell ref="X346:Y346"/>
    <mergeCell ref="AC346:AD346"/>
    <mergeCell ref="AH346:AI346"/>
    <mergeCell ref="X347:Y347"/>
    <mergeCell ref="AC347:AD347"/>
    <mergeCell ref="AH347:AI347"/>
    <mergeCell ref="X348:Y348"/>
    <mergeCell ref="AC348:AD348"/>
    <mergeCell ref="AH348:AI348"/>
    <mergeCell ref="X355:Y355"/>
    <mergeCell ref="AC355:AD355"/>
    <mergeCell ref="AH355:AI355"/>
    <mergeCell ref="X356:Y356"/>
    <mergeCell ref="AC356:AD356"/>
    <mergeCell ref="AH356:AI356"/>
    <mergeCell ref="X345:Y345"/>
    <mergeCell ref="AC345:AD345"/>
    <mergeCell ref="AH345:AI345"/>
    <mergeCell ref="X340:Y340"/>
    <mergeCell ref="AC340:AD340"/>
    <mergeCell ref="AH340:AI340"/>
    <mergeCell ref="X341:Y341"/>
    <mergeCell ref="AC341:AD341"/>
    <mergeCell ref="AH341:AI341"/>
    <mergeCell ref="X342:Y342"/>
    <mergeCell ref="AC342:AD342"/>
    <mergeCell ref="AH342:AI342"/>
    <mergeCell ref="X349:Y349"/>
    <mergeCell ref="AC349:AD349"/>
    <mergeCell ref="AH349:AI349"/>
    <mergeCell ref="X350:Y350"/>
    <mergeCell ref="AC350:AD350"/>
    <mergeCell ref="AH350:AI350"/>
    <mergeCell ref="X339:Y339"/>
    <mergeCell ref="AC339:AD339"/>
    <mergeCell ref="AH339:AI339"/>
    <mergeCell ref="X334:Y334"/>
    <mergeCell ref="AC334:AD334"/>
    <mergeCell ref="AH334:AI334"/>
    <mergeCell ref="X335:Y335"/>
    <mergeCell ref="AC335:AD335"/>
    <mergeCell ref="AH335:AI335"/>
    <mergeCell ref="X336:Y336"/>
    <mergeCell ref="AC336:AD336"/>
    <mergeCell ref="AH336:AI336"/>
    <mergeCell ref="X343:Y343"/>
    <mergeCell ref="AC343:AD343"/>
    <mergeCell ref="AH343:AI343"/>
    <mergeCell ref="X344:Y344"/>
    <mergeCell ref="AC344:AD344"/>
    <mergeCell ref="AH344:AI344"/>
    <mergeCell ref="X333:Y333"/>
    <mergeCell ref="AC333:AD333"/>
    <mergeCell ref="AH333:AI333"/>
    <mergeCell ref="X328:Y328"/>
    <mergeCell ref="AC328:AD328"/>
    <mergeCell ref="AH328:AI328"/>
    <mergeCell ref="X329:Y329"/>
    <mergeCell ref="AC329:AD329"/>
    <mergeCell ref="AH329:AI329"/>
    <mergeCell ref="X330:Y330"/>
    <mergeCell ref="AC330:AD330"/>
    <mergeCell ref="AH330:AI330"/>
    <mergeCell ref="X337:Y337"/>
    <mergeCell ref="AC337:AD337"/>
    <mergeCell ref="AH337:AI337"/>
    <mergeCell ref="X338:Y338"/>
    <mergeCell ref="AC338:AD338"/>
    <mergeCell ref="AH338:AI338"/>
    <mergeCell ref="X327:Y327"/>
    <mergeCell ref="AC327:AD327"/>
    <mergeCell ref="AH327:AI327"/>
    <mergeCell ref="X322:Y322"/>
    <mergeCell ref="AC322:AD322"/>
    <mergeCell ref="AH322:AI322"/>
    <mergeCell ref="X323:Y323"/>
    <mergeCell ref="AC323:AD323"/>
    <mergeCell ref="AH323:AI323"/>
    <mergeCell ref="X324:Y324"/>
    <mergeCell ref="AC324:AD324"/>
    <mergeCell ref="AH324:AI324"/>
    <mergeCell ref="X331:Y331"/>
    <mergeCell ref="AC331:AD331"/>
    <mergeCell ref="AH331:AI331"/>
    <mergeCell ref="X332:Y332"/>
    <mergeCell ref="AC332:AD332"/>
    <mergeCell ref="AH332:AI332"/>
    <mergeCell ref="X321:Y321"/>
    <mergeCell ref="AC321:AD321"/>
    <mergeCell ref="AH321:AI321"/>
    <mergeCell ref="X316:Y316"/>
    <mergeCell ref="AC316:AD316"/>
    <mergeCell ref="AH316:AI316"/>
    <mergeCell ref="X317:Y317"/>
    <mergeCell ref="AC317:AD317"/>
    <mergeCell ref="AH317:AI317"/>
    <mergeCell ref="X318:Y318"/>
    <mergeCell ref="AC318:AD318"/>
    <mergeCell ref="AH318:AI318"/>
    <mergeCell ref="X325:Y325"/>
    <mergeCell ref="AC325:AD325"/>
    <mergeCell ref="AH325:AI325"/>
    <mergeCell ref="X326:Y326"/>
    <mergeCell ref="AC326:AD326"/>
    <mergeCell ref="AH326:AI326"/>
    <mergeCell ref="X315:Y315"/>
    <mergeCell ref="AC315:AD315"/>
    <mergeCell ref="AH315:AI315"/>
    <mergeCell ref="X310:Y310"/>
    <mergeCell ref="AC310:AD310"/>
    <mergeCell ref="AH310:AI310"/>
    <mergeCell ref="X311:Y311"/>
    <mergeCell ref="AC311:AD311"/>
    <mergeCell ref="AH311:AI311"/>
    <mergeCell ref="X312:Y312"/>
    <mergeCell ref="AC312:AD312"/>
    <mergeCell ref="AH312:AI312"/>
    <mergeCell ref="X319:Y319"/>
    <mergeCell ref="AC319:AD319"/>
    <mergeCell ref="AH319:AI319"/>
    <mergeCell ref="X320:Y320"/>
    <mergeCell ref="AC320:AD320"/>
    <mergeCell ref="AH320:AI320"/>
    <mergeCell ref="X309:Y309"/>
    <mergeCell ref="AC309:AD309"/>
    <mergeCell ref="AH309:AI309"/>
    <mergeCell ref="X304:Y304"/>
    <mergeCell ref="AC304:AD304"/>
    <mergeCell ref="AH304:AI304"/>
    <mergeCell ref="X305:Y305"/>
    <mergeCell ref="AC305:AD305"/>
    <mergeCell ref="AH305:AI305"/>
    <mergeCell ref="X306:Y306"/>
    <mergeCell ref="AC306:AD306"/>
    <mergeCell ref="AH306:AI306"/>
    <mergeCell ref="X313:Y313"/>
    <mergeCell ref="AC313:AD313"/>
    <mergeCell ref="AH313:AI313"/>
    <mergeCell ref="X314:Y314"/>
    <mergeCell ref="AC314:AD314"/>
    <mergeCell ref="AH314:AI314"/>
    <mergeCell ref="X303:Y303"/>
    <mergeCell ref="AC303:AD303"/>
    <mergeCell ref="AH303:AI303"/>
    <mergeCell ref="X298:Y298"/>
    <mergeCell ref="AC298:AD298"/>
    <mergeCell ref="AH298:AI298"/>
    <mergeCell ref="X299:Y299"/>
    <mergeCell ref="AC299:AD299"/>
    <mergeCell ref="AH299:AI299"/>
    <mergeCell ref="X300:Y300"/>
    <mergeCell ref="AC300:AD300"/>
    <mergeCell ref="AH300:AI300"/>
    <mergeCell ref="X307:Y307"/>
    <mergeCell ref="AC307:AD307"/>
    <mergeCell ref="AH307:AI307"/>
    <mergeCell ref="X308:Y308"/>
    <mergeCell ref="AC308:AD308"/>
    <mergeCell ref="AH308:AI308"/>
    <mergeCell ref="X297:Y297"/>
    <mergeCell ref="AC297:AD297"/>
    <mergeCell ref="AH297:AI297"/>
    <mergeCell ref="X292:Y292"/>
    <mergeCell ref="AC292:AD292"/>
    <mergeCell ref="AH292:AI292"/>
    <mergeCell ref="X293:Y293"/>
    <mergeCell ref="AC293:AD293"/>
    <mergeCell ref="AH293:AI293"/>
    <mergeCell ref="X294:Y294"/>
    <mergeCell ref="AC294:AD294"/>
    <mergeCell ref="AH294:AI294"/>
    <mergeCell ref="X301:Y301"/>
    <mergeCell ref="AC301:AD301"/>
    <mergeCell ref="AH301:AI301"/>
    <mergeCell ref="X302:Y302"/>
    <mergeCell ref="AC302:AD302"/>
    <mergeCell ref="AH302:AI302"/>
    <mergeCell ref="X291:Y291"/>
    <mergeCell ref="AC291:AD291"/>
    <mergeCell ref="AH291:AI291"/>
    <mergeCell ref="X286:Y286"/>
    <mergeCell ref="AC286:AD286"/>
    <mergeCell ref="AH286:AI286"/>
    <mergeCell ref="X287:Y287"/>
    <mergeCell ref="AC287:AD287"/>
    <mergeCell ref="AH287:AI287"/>
    <mergeCell ref="X288:Y288"/>
    <mergeCell ref="AC288:AD288"/>
    <mergeCell ref="AH288:AI288"/>
    <mergeCell ref="X295:Y295"/>
    <mergeCell ref="AC295:AD295"/>
    <mergeCell ref="AH295:AI295"/>
    <mergeCell ref="X296:Y296"/>
    <mergeCell ref="AC296:AD296"/>
    <mergeCell ref="AH296:AI296"/>
    <mergeCell ref="X285:Y285"/>
    <mergeCell ref="AC285:AD285"/>
    <mergeCell ref="AH285:AI285"/>
    <mergeCell ref="X280:Y280"/>
    <mergeCell ref="AC280:AD280"/>
    <mergeCell ref="AH280:AI280"/>
    <mergeCell ref="X281:Y281"/>
    <mergeCell ref="AC281:AD281"/>
    <mergeCell ref="AH281:AI281"/>
    <mergeCell ref="X282:Y282"/>
    <mergeCell ref="AC282:AD282"/>
    <mergeCell ref="AH282:AI282"/>
    <mergeCell ref="X289:Y289"/>
    <mergeCell ref="AC289:AD289"/>
    <mergeCell ref="AH289:AI289"/>
    <mergeCell ref="X290:Y290"/>
    <mergeCell ref="AC290:AD290"/>
    <mergeCell ref="AH290:AI290"/>
    <mergeCell ref="X279:Y279"/>
    <mergeCell ref="AC279:AD279"/>
    <mergeCell ref="AH279:AI279"/>
    <mergeCell ref="X274:Y274"/>
    <mergeCell ref="AC274:AD274"/>
    <mergeCell ref="AH274:AI274"/>
    <mergeCell ref="X275:Y275"/>
    <mergeCell ref="AC275:AD275"/>
    <mergeCell ref="AH275:AI275"/>
    <mergeCell ref="X276:Y276"/>
    <mergeCell ref="AC276:AD276"/>
    <mergeCell ref="AH276:AI276"/>
    <mergeCell ref="X283:Y283"/>
    <mergeCell ref="AC283:AD283"/>
    <mergeCell ref="AH283:AI283"/>
    <mergeCell ref="X284:Y284"/>
    <mergeCell ref="AC284:AD284"/>
    <mergeCell ref="AH284:AI284"/>
    <mergeCell ref="X273:Y273"/>
    <mergeCell ref="AC273:AD273"/>
    <mergeCell ref="AH273:AI273"/>
    <mergeCell ref="X268:Y268"/>
    <mergeCell ref="AC268:AD268"/>
    <mergeCell ref="AH268:AI268"/>
    <mergeCell ref="X269:Y269"/>
    <mergeCell ref="AC269:AD269"/>
    <mergeCell ref="AH269:AI269"/>
    <mergeCell ref="X270:Y270"/>
    <mergeCell ref="AC270:AD270"/>
    <mergeCell ref="AH270:AI270"/>
    <mergeCell ref="X277:Y277"/>
    <mergeCell ref="AC277:AD277"/>
    <mergeCell ref="AH277:AI277"/>
    <mergeCell ref="X278:Y278"/>
    <mergeCell ref="AC278:AD278"/>
    <mergeCell ref="AH278:AI278"/>
    <mergeCell ref="X267:Y267"/>
    <mergeCell ref="AC267:AD267"/>
    <mergeCell ref="AH267:AI267"/>
    <mergeCell ref="X262:Y262"/>
    <mergeCell ref="AC262:AD262"/>
    <mergeCell ref="AH262:AI262"/>
    <mergeCell ref="X263:Y263"/>
    <mergeCell ref="AC263:AD263"/>
    <mergeCell ref="AH263:AI263"/>
    <mergeCell ref="X264:Y264"/>
    <mergeCell ref="AC264:AD264"/>
    <mergeCell ref="AH264:AI264"/>
    <mergeCell ref="X271:Y271"/>
    <mergeCell ref="AC271:AD271"/>
    <mergeCell ref="AH271:AI271"/>
    <mergeCell ref="X272:Y272"/>
    <mergeCell ref="AC272:AD272"/>
    <mergeCell ref="AH272:AI272"/>
    <mergeCell ref="X261:Y261"/>
    <mergeCell ref="AC261:AD261"/>
    <mergeCell ref="AH261:AI261"/>
    <mergeCell ref="X256:Y256"/>
    <mergeCell ref="AC256:AD256"/>
    <mergeCell ref="AH256:AI256"/>
    <mergeCell ref="X257:Y257"/>
    <mergeCell ref="AC257:AD257"/>
    <mergeCell ref="AH257:AI257"/>
    <mergeCell ref="X258:Y258"/>
    <mergeCell ref="AC258:AD258"/>
    <mergeCell ref="AH258:AI258"/>
    <mergeCell ref="X265:Y265"/>
    <mergeCell ref="AC265:AD265"/>
    <mergeCell ref="AH265:AI265"/>
    <mergeCell ref="X266:Y266"/>
    <mergeCell ref="AC266:AD266"/>
    <mergeCell ref="AH266:AI266"/>
    <mergeCell ref="X255:Y255"/>
    <mergeCell ref="AC255:AD255"/>
    <mergeCell ref="AH255:AI255"/>
    <mergeCell ref="X250:Y250"/>
    <mergeCell ref="AC250:AD250"/>
    <mergeCell ref="AH250:AI250"/>
    <mergeCell ref="X251:Y251"/>
    <mergeCell ref="AC251:AD251"/>
    <mergeCell ref="AH251:AI251"/>
    <mergeCell ref="X252:Y252"/>
    <mergeCell ref="AC252:AD252"/>
    <mergeCell ref="AH252:AI252"/>
    <mergeCell ref="X259:Y259"/>
    <mergeCell ref="AC259:AD259"/>
    <mergeCell ref="AH259:AI259"/>
    <mergeCell ref="X260:Y260"/>
    <mergeCell ref="AC260:AD260"/>
    <mergeCell ref="AH260:AI260"/>
    <mergeCell ref="X249:Y249"/>
    <mergeCell ref="AC249:AD249"/>
    <mergeCell ref="AH249:AI249"/>
    <mergeCell ref="X244:Y244"/>
    <mergeCell ref="AC244:AD244"/>
    <mergeCell ref="AH244:AI244"/>
    <mergeCell ref="X245:Y245"/>
    <mergeCell ref="AC245:AD245"/>
    <mergeCell ref="AH245:AI245"/>
    <mergeCell ref="X246:Y246"/>
    <mergeCell ref="AC246:AD246"/>
    <mergeCell ref="AH246:AI246"/>
    <mergeCell ref="X253:Y253"/>
    <mergeCell ref="AC253:AD253"/>
    <mergeCell ref="AH253:AI253"/>
    <mergeCell ref="X254:Y254"/>
    <mergeCell ref="AC254:AD254"/>
    <mergeCell ref="AH254:AI254"/>
    <mergeCell ref="X243:Y243"/>
    <mergeCell ref="AC243:AD243"/>
    <mergeCell ref="AH243:AI243"/>
    <mergeCell ref="X238:Y238"/>
    <mergeCell ref="AC238:AD238"/>
    <mergeCell ref="AH238:AI238"/>
    <mergeCell ref="X239:Y239"/>
    <mergeCell ref="AC239:AD239"/>
    <mergeCell ref="AH239:AI239"/>
    <mergeCell ref="X240:Y240"/>
    <mergeCell ref="AC240:AD240"/>
    <mergeCell ref="AH240:AI240"/>
    <mergeCell ref="X247:Y247"/>
    <mergeCell ref="AC247:AD247"/>
    <mergeCell ref="AH247:AI247"/>
    <mergeCell ref="X248:Y248"/>
    <mergeCell ref="AC248:AD248"/>
    <mergeCell ref="AH248:AI248"/>
    <mergeCell ref="X237:Y237"/>
    <mergeCell ref="AC237:AD237"/>
    <mergeCell ref="AH237:AI237"/>
    <mergeCell ref="X232:Y232"/>
    <mergeCell ref="AC232:AD232"/>
    <mergeCell ref="AH232:AI232"/>
    <mergeCell ref="X233:Y233"/>
    <mergeCell ref="AC233:AD233"/>
    <mergeCell ref="AH233:AI233"/>
    <mergeCell ref="X234:Y234"/>
    <mergeCell ref="AC234:AD234"/>
    <mergeCell ref="AH234:AI234"/>
    <mergeCell ref="X241:Y241"/>
    <mergeCell ref="AC241:AD241"/>
    <mergeCell ref="AH241:AI241"/>
    <mergeCell ref="X242:Y242"/>
    <mergeCell ref="AC242:AD242"/>
    <mergeCell ref="AH242:AI242"/>
    <mergeCell ref="X231:Y231"/>
    <mergeCell ref="AC231:AD231"/>
    <mergeCell ref="AH231:AI231"/>
    <mergeCell ref="X226:Y226"/>
    <mergeCell ref="AC226:AD226"/>
    <mergeCell ref="AH226:AI226"/>
    <mergeCell ref="X227:Y227"/>
    <mergeCell ref="AC227:AD227"/>
    <mergeCell ref="AH227:AI227"/>
    <mergeCell ref="X228:Y228"/>
    <mergeCell ref="AC228:AD228"/>
    <mergeCell ref="AH228:AI228"/>
    <mergeCell ref="X235:Y235"/>
    <mergeCell ref="AC235:AD235"/>
    <mergeCell ref="AH235:AI235"/>
    <mergeCell ref="X236:Y236"/>
    <mergeCell ref="AC236:AD236"/>
    <mergeCell ref="AH236:AI236"/>
    <mergeCell ref="X225:Y225"/>
    <mergeCell ref="AC225:AD225"/>
    <mergeCell ref="AH225:AI225"/>
    <mergeCell ref="X220:Y220"/>
    <mergeCell ref="AC220:AD220"/>
    <mergeCell ref="AH220:AI220"/>
    <mergeCell ref="X221:Y221"/>
    <mergeCell ref="AC221:AD221"/>
    <mergeCell ref="AH221:AI221"/>
    <mergeCell ref="X222:Y222"/>
    <mergeCell ref="AC222:AD222"/>
    <mergeCell ref="AH222:AI222"/>
    <mergeCell ref="X229:Y229"/>
    <mergeCell ref="AC229:AD229"/>
    <mergeCell ref="AH229:AI229"/>
    <mergeCell ref="X230:Y230"/>
    <mergeCell ref="AC230:AD230"/>
    <mergeCell ref="AH230:AI230"/>
    <mergeCell ref="X219:Y219"/>
    <mergeCell ref="AC219:AD219"/>
    <mergeCell ref="AH219:AI219"/>
    <mergeCell ref="X214:Y214"/>
    <mergeCell ref="AC214:AD214"/>
    <mergeCell ref="AH214:AI214"/>
    <mergeCell ref="X215:Y215"/>
    <mergeCell ref="AC215:AD215"/>
    <mergeCell ref="AH215:AI215"/>
    <mergeCell ref="X216:Y216"/>
    <mergeCell ref="AC216:AD216"/>
    <mergeCell ref="AH216:AI216"/>
    <mergeCell ref="X223:Y223"/>
    <mergeCell ref="AC223:AD223"/>
    <mergeCell ref="AH223:AI223"/>
    <mergeCell ref="X224:Y224"/>
    <mergeCell ref="AC224:AD224"/>
    <mergeCell ref="AH224:AI224"/>
    <mergeCell ref="X213:Y213"/>
    <mergeCell ref="AC213:AD213"/>
    <mergeCell ref="AH213:AI213"/>
    <mergeCell ref="X208:Y208"/>
    <mergeCell ref="AC208:AD208"/>
    <mergeCell ref="AH208:AI208"/>
    <mergeCell ref="X209:Y209"/>
    <mergeCell ref="AC209:AD209"/>
    <mergeCell ref="AH209:AI209"/>
    <mergeCell ref="X210:Y210"/>
    <mergeCell ref="AC210:AD210"/>
    <mergeCell ref="AH210:AI210"/>
    <mergeCell ref="X217:Y217"/>
    <mergeCell ref="AC217:AD217"/>
    <mergeCell ref="AH217:AI217"/>
    <mergeCell ref="X218:Y218"/>
    <mergeCell ref="AC218:AD218"/>
    <mergeCell ref="AH218:AI218"/>
    <mergeCell ref="X207:Y207"/>
    <mergeCell ref="AC207:AD207"/>
    <mergeCell ref="AH207:AI207"/>
    <mergeCell ref="X202:Y202"/>
    <mergeCell ref="AC202:AD202"/>
    <mergeCell ref="AH202:AI202"/>
    <mergeCell ref="X203:Y203"/>
    <mergeCell ref="AC203:AD203"/>
    <mergeCell ref="AH203:AI203"/>
    <mergeCell ref="X204:Y204"/>
    <mergeCell ref="AC204:AD204"/>
    <mergeCell ref="AH204:AI204"/>
    <mergeCell ref="X211:Y211"/>
    <mergeCell ref="AC211:AD211"/>
    <mergeCell ref="AH211:AI211"/>
    <mergeCell ref="X212:Y212"/>
    <mergeCell ref="AC212:AD212"/>
    <mergeCell ref="AH212:AI212"/>
    <mergeCell ref="X201:Y201"/>
    <mergeCell ref="AC201:AD201"/>
    <mergeCell ref="AH201:AI201"/>
    <mergeCell ref="X196:Y196"/>
    <mergeCell ref="AC196:AD196"/>
    <mergeCell ref="AH196:AI196"/>
    <mergeCell ref="X197:Y197"/>
    <mergeCell ref="AC197:AD197"/>
    <mergeCell ref="AH197:AI197"/>
    <mergeCell ref="X198:Y198"/>
    <mergeCell ref="AC198:AD198"/>
    <mergeCell ref="AH198:AI198"/>
    <mergeCell ref="X205:Y205"/>
    <mergeCell ref="AC205:AD205"/>
    <mergeCell ref="AH205:AI205"/>
    <mergeCell ref="X206:Y206"/>
    <mergeCell ref="AC206:AD206"/>
    <mergeCell ref="AH206:AI206"/>
    <mergeCell ref="X195:Y195"/>
    <mergeCell ref="AC195:AD195"/>
    <mergeCell ref="AH195:AI195"/>
    <mergeCell ref="X190:Y190"/>
    <mergeCell ref="AC190:AD190"/>
    <mergeCell ref="AH190:AI190"/>
    <mergeCell ref="X191:Y191"/>
    <mergeCell ref="AC191:AD191"/>
    <mergeCell ref="AH191:AI191"/>
    <mergeCell ref="X192:Y192"/>
    <mergeCell ref="AC192:AD192"/>
    <mergeCell ref="AH192:AI192"/>
    <mergeCell ref="X199:Y199"/>
    <mergeCell ref="AC199:AD199"/>
    <mergeCell ref="AH199:AI199"/>
    <mergeCell ref="X200:Y200"/>
    <mergeCell ref="AC200:AD200"/>
    <mergeCell ref="AH200:AI200"/>
    <mergeCell ref="X189:Y189"/>
    <mergeCell ref="AC189:AD189"/>
    <mergeCell ref="AH189:AI189"/>
    <mergeCell ref="X184:Y184"/>
    <mergeCell ref="AC184:AD184"/>
    <mergeCell ref="AH184:AI184"/>
    <mergeCell ref="X185:Y185"/>
    <mergeCell ref="AC185:AD185"/>
    <mergeCell ref="AH185:AI185"/>
    <mergeCell ref="X186:Y186"/>
    <mergeCell ref="AC186:AD186"/>
    <mergeCell ref="AH186:AI186"/>
    <mergeCell ref="X193:Y193"/>
    <mergeCell ref="AC193:AD193"/>
    <mergeCell ref="AH193:AI193"/>
    <mergeCell ref="X194:Y194"/>
    <mergeCell ref="AC194:AD194"/>
    <mergeCell ref="AH194:AI194"/>
    <mergeCell ref="X183:Y183"/>
    <mergeCell ref="AC183:AD183"/>
    <mergeCell ref="AH183:AI183"/>
    <mergeCell ref="X178:Y178"/>
    <mergeCell ref="AC178:AD178"/>
    <mergeCell ref="AH178:AI178"/>
    <mergeCell ref="X179:Y179"/>
    <mergeCell ref="AC179:AD179"/>
    <mergeCell ref="AH179:AI179"/>
    <mergeCell ref="X180:Y180"/>
    <mergeCell ref="AC180:AD180"/>
    <mergeCell ref="AH180:AI180"/>
    <mergeCell ref="X187:Y187"/>
    <mergeCell ref="AC187:AD187"/>
    <mergeCell ref="AH187:AI187"/>
    <mergeCell ref="X188:Y188"/>
    <mergeCell ref="AC188:AD188"/>
    <mergeCell ref="AH188:AI188"/>
    <mergeCell ref="X177:Y177"/>
    <mergeCell ref="AC177:AD177"/>
    <mergeCell ref="AH177:AI177"/>
    <mergeCell ref="X172:Y172"/>
    <mergeCell ref="AC172:AD172"/>
    <mergeCell ref="AH172:AI172"/>
    <mergeCell ref="X173:Y173"/>
    <mergeCell ref="AC173:AD173"/>
    <mergeCell ref="AH173:AI173"/>
    <mergeCell ref="X174:Y174"/>
    <mergeCell ref="AC174:AD174"/>
    <mergeCell ref="AH174:AI174"/>
    <mergeCell ref="X181:Y181"/>
    <mergeCell ref="AC181:AD181"/>
    <mergeCell ref="AH181:AI181"/>
    <mergeCell ref="X182:Y182"/>
    <mergeCell ref="AC182:AD182"/>
    <mergeCell ref="AH182:AI182"/>
    <mergeCell ref="X171:Y171"/>
    <mergeCell ref="AC171:AD171"/>
    <mergeCell ref="AH171:AI171"/>
    <mergeCell ref="X166:Y166"/>
    <mergeCell ref="AC166:AD166"/>
    <mergeCell ref="AH166:AI166"/>
    <mergeCell ref="X167:Y167"/>
    <mergeCell ref="AC167:AD167"/>
    <mergeCell ref="AH167:AI167"/>
    <mergeCell ref="X168:Y168"/>
    <mergeCell ref="AC168:AD168"/>
    <mergeCell ref="AH168:AI168"/>
    <mergeCell ref="X175:Y175"/>
    <mergeCell ref="AC175:AD175"/>
    <mergeCell ref="AH175:AI175"/>
    <mergeCell ref="X176:Y176"/>
    <mergeCell ref="AC176:AD176"/>
    <mergeCell ref="AH176:AI176"/>
    <mergeCell ref="X165:Y165"/>
    <mergeCell ref="AC165:AD165"/>
    <mergeCell ref="AH165:AI165"/>
    <mergeCell ref="X160:Y160"/>
    <mergeCell ref="AC160:AD160"/>
    <mergeCell ref="AH160:AI160"/>
    <mergeCell ref="X161:Y161"/>
    <mergeCell ref="AC161:AD161"/>
    <mergeCell ref="AH161:AI161"/>
    <mergeCell ref="X162:Y162"/>
    <mergeCell ref="AC162:AD162"/>
    <mergeCell ref="AH162:AI162"/>
    <mergeCell ref="X169:Y169"/>
    <mergeCell ref="AC169:AD169"/>
    <mergeCell ref="AH169:AI169"/>
    <mergeCell ref="X170:Y170"/>
    <mergeCell ref="AC170:AD170"/>
    <mergeCell ref="AH170:AI170"/>
    <mergeCell ref="X159:Y159"/>
    <mergeCell ref="AC159:AD159"/>
    <mergeCell ref="AH159:AI159"/>
    <mergeCell ref="X154:Y154"/>
    <mergeCell ref="AC154:AD154"/>
    <mergeCell ref="AH154:AI154"/>
    <mergeCell ref="X155:Y155"/>
    <mergeCell ref="AC155:AD155"/>
    <mergeCell ref="AH155:AI155"/>
    <mergeCell ref="X156:Y156"/>
    <mergeCell ref="AC156:AD156"/>
    <mergeCell ref="AH156:AI156"/>
    <mergeCell ref="X163:Y163"/>
    <mergeCell ref="AC163:AD163"/>
    <mergeCell ref="AH163:AI163"/>
    <mergeCell ref="X164:Y164"/>
    <mergeCell ref="AC164:AD164"/>
    <mergeCell ref="AH164:AI164"/>
    <mergeCell ref="X153:Y153"/>
    <mergeCell ref="AC153:AD153"/>
    <mergeCell ref="AH153:AI153"/>
    <mergeCell ref="X148:Y148"/>
    <mergeCell ref="AC148:AD148"/>
    <mergeCell ref="AH148:AI148"/>
    <mergeCell ref="X149:Y149"/>
    <mergeCell ref="AC149:AD149"/>
    <mergeCell ref="AH149:AI149"/>
    <mergeCell ref="X150:Y150"/>
    <mergeCell ref="AC150:AD150"/>
    <mergeCell ref="AH150:AI150"/>
    <mergeCell ref="X157:Y157"/>
    <mergeCell ref="AC157:AD157"/>
    <mergeCell ref="AH157:AI157"/>
    <mergeCell ref="X158:Y158"/>
    <mergeCell ref="AC158:AD158"/>
    <mergeCell ref="AH158:AI158"/>
    <mergeCell ref="X147:Y147"/>
    <mergeCell ref="AC147:AD147"/>
    <mergeCell ref="AH147:AI147"/>
    <mergeCell ref="X142:Y142"/>
    <mergeCell ref="AC142:AD142"/>
    <mergeCell ref="AH142:AI142"/>
    <mergeCell ref="X143:Y143"/>
    <mergeCell ref="AC143:AD143"/>
    <mergeCell ref="AH143:AI143"/>
    <mergeCell ref="X144:Y144"/>
    <mergeCell ref="AC144:AD144"/>
    <mergeCell ref="AH144:AI144"/>
    <mergeCell ref="X151:Y151"/>
    <mergeCell ref="AC151:AD151"/>
    <mergeCell ref="AH151:AI151"/>
    <mergeCell ref="X152:Y152"/>
    <mergeCell ref="AC152:AD152"/>
    <mergeCell ref="AH152:AI152"/>
    <mergeCell ref="X141:Y141"/>
    <mergeCell ref="AC141:AD141"/>
    <mergeCell ref="AH141:AI141"/>
    <mergeCell ref="X136:Y136"/>
    <mergeCell ref="AC136:AD136"/>
    <mergeCell ref="AH136:AI136"/>
    <mergeCell ref="X137:Y137"/>
    <mergeCell ref="AC137:AD137"/>
    <mergeCell ref="AH137:AI137"/>
    <mergeCell ref="X138:Y138"/>
    <mergeCell ref="AC138:AD138"/>
    <mergeCell ref="AH138:AI138"/>
    <mergeCell ref="X145:Y145"/>
    <mergeCell ref="AC145:AD145"/>
    <mergeCell ref="AH145:AI145"/>
    <mergeCell ref="X146:Y146"/>
    <mergeCell ref="AC146:AD146"/>
    <mergeCell ref="AH146:AI146"/>
    <mergeCell ref="X135:Y135"/>
    <mergeCell ref="AC135:AD135"/>
    <mergeCell ref="AH135:AI135"/>
    <mergeCell ref="X130:Y130"/>
    <mergeCell ref="AC130:AD130"/>
    <mergeCell ref="AH130:AI130"/>
    <mergeCell ref="X131:Y131"/>
    <mergeCell ref="AC131:AD131"/>
    <mergeCell ref="AH131:AI131"/>
    <mergeCell ref="X132:Y132"/>
    <mergeCell ref="AC132:AD132"/>
    <mergeCell ref="AH132:AI132"/>
    <mergeCell ref="X139:Y139"/>
    <mergeCell ref="AC139:AD139"/>
    <mergeCell ref="AH139:AI139"/>
    <mergeCell ref="X140:Y140"/>
    <mergeCell ref="AC140:AD140"/>
    <mergeCell ref="AH140:AI140"/>
    <mergeCell ref="X129:Y129"/>
    <mergeCell ref="AC129:AD129"/>
    <mergeCell ref="AH129:AI129"/>
    <mergeCell ref="X124:Y124"/>
    <mergeCell ref="AC124:AD124"/>
    <mergeCell ref="AH124:AI124"/>
    <mergeCell ref="X125:Y125"/>
    <mergeCell ref="AC125:AD125"/>
    <mergeCell ref="AH125:AI125"/>
    <mergeCell ref="X126:Y126"/>
    <mergeCell ref="AC126:AD126"/>
    <mergeCell ref="AH126:AI126"/>
    <mergeCell ref="X133:Y133"/>
    <mergeCell ref="AC133:AD133"/>
    <mergeCell ref="AH133:AI133"/>
    <mergeCell ref="X134:Y134"/>
    <mergeCell ref="AC134:AD134"/>
    <mergeCell ref="AH134:AI134"/>
    <mergeCell ref="X123:Y123"/>
    <mergeCell ref="AC123:AD123"/>
    <mergeCell ref="AH123:AI123"/>
    <mergeCell ref="X118:Y118"/>
    <mergeCell ref="AC118:AD118"/>
    <mergeCell ref="AH118:AI118"/>
    <mergeCell ref="X119:Y119"/>
    <mergeCell ref="AC119:AD119"/>
    <mergeCell ref="AH119:AI119"/>
    <mergeCell ref="X120:Y120"/>
    <mergeCell ref="AC120:AD120"/>
    <mergeCell ref="AH120:AI120"/>
    <mergeCell ref="X127:Y127"/>
    <mergeCell ref="AC127:AD127"/>
    <mergeCell ref="AH127:AI127"/>
    <mergeCell ref="X128:Y128"/>
    <mergeCell ref="AC128:AD128"/>
    <mergeCell ref="AH128:AI128"/>
    <mergeCell ref="X117:Y117"/>
    <mergeCell ref="AC117:AD117"/>
    <mergeCell ref="AH117:AI117"/>
    <mergeCell ref="X112:Y112"/>
    <mergeCell ref="AC112:AD112"/>
    <mergeCell ref="AH112:AI112"/>
    <mergeCell ref="X113:Y113"/>
    <mergeCell ref="AC113:AD113"/>
    <mergeCell ref="AH113:AI113"/>
    <mergeCell ref="X114:Y114"/>
    <mergeCell ref="AC114:AD114"/>
    <mergeCell ref="AH114:AI114"/>
    <mergeCell ref="X121:Y121"/>
    <mergeCell ref="AC121:AD121"/>
    <mergeCell ref="AH121:AI121"/>
    <mergeCell ref="X122:Y122"/>
    <mergeCell ref="AC122:AD122"/>
    <mergeCell ref="AH122:AI122"/>
    <mergeCell ref="X111:Y111"/>
    <mergeCell ref="AC111:AD111"/>
    <mergeCell ref="AH111:AI111"/>
    <mergeCell ref="X106:Y106"/>
    <mergeCell ref="AC106:AD106"/>
    <mergeCell ref="AH106:AI106"/>
    <mergeCell ref="X107:Y107"/>
    <mergeCell ref="AC107:AD107"/>
    <mergeCell ref="AH107:AI107"/>
    <mergeCell ref="X108:Y108"/>
    <mergeCell ref="AC108:AD108"/>
    <mergeCell ref="AH108:AI108"/>
    <mergeCell ref="X115:Y115"/>
    <mergeCell ref="AC115:AD115"/>
    <mergeCell ref="AH115:AI115"/>
    <mergeCell ref="X116:Y116"/>
    <mergeCell ref="AC116:AD116"/>
    <mergeCell ref="AH116:AI116"/>
    <mergeCell ref="X105:Y105"/>
    <mergeCell ref="AC105:AD105"/>
    <mergeCell ref="AH105:AI105"/>
    <mergeCell ref="X100:Y100"/>
    <mergeCell ref="AC100:AD100"/>
    <mergeCell ref="AH100:AI100"/>
    <mergeCell ref="X101:Y101"/>
    <mergeCell ref="AC101:AD101"/>
    <mergeCell ref="AH101:AI101"/>
    <mergeCell ref="X102:Y102"/>
    <mergeCell ref="AC102:AD102"/>
    <mergeCell ref="AH102:AI102"/>
    <mergeCell ref="X109:Y109"/>
    <mergeCell ref="AC109:AD109"/>
    <mergeCell ref="AH109:AI109"/>
    <mergeCell ref="X110:Y110"/>
    <mergeCell ref="AC110:AD110"/>
    <mergeCell ref="AH110:AI110"/>
    <mergeCell ref="X99:Y99"/>
    <mergeCell ref="AC99:AD99"/>
    <mergeCell ref="AH99:AI99"/>
    <mergeCell ref="X94:Y94"/>
    <mergeCell ref="AC94:AD94"/>
    <mergeCell ref="AH94:AI94"/>
    <mergeCell ref="X95:Y95"/>
    <mergeCell ref="AC95:AD95"/>
    <mergeCell ref="AH95:AI95"/>
    <mergeCell ref="X96:Y96"/>
    <mergeCell ref="AC96:AD96"/>
    <mergeCell ref="AH96:AI96"/>
    <mergeCell ref="X103:Y103"/>
    <mergeCell ref="AC103:AD103"/>
    <mergeCell ref="AH103:AI103"/>
    <mergeCell ref="X104:Y104"/>
    <mergeCell ref="AC104:AD104"/>
    <mergeCell ref="AH104:AI104"/>
    <mergeCell ref="X93:Y93"/>
    <mergeCell ref="AC93:AD93"/>
    <mergeCell ref="AH93:AI93"/>
    <mergeCell ref="X88:Y88"/>
    <mergeCell ref="AC88:AD88"/>
    <mergeCell ref="AH88:AI88"/>
    <mergeCell ref="X89:Y89"/>
    <mergeCell ref="AC89:AD89"/>
    <mergeCell ref="AH89:AI89"/>
    <mergeCell ref="X90:Y90"/>
    <mergeCell ref="AC90:AD90"/>
    <mergeCell ref="AH90:AI90"/>
    <mergeCell ref="X97:Y97"/>
    <mergeCell ref="AC97:AD97"/>
    <mergeCell ref="AH97:AI97"/>
    <mergeCell ref="X98:Y98"/>
    <mergeCell ref="AC98:AD98"/>
    <mergeCell ref="AH98:AI98"/>
    <mergeCell ref="X87:Y87"/>
    <mergeCell ref="AC87:AD87"/>
    <mergeCell ref="AH87:AI87"/>
    <mergeCell ref="X82:Y82"/>
    <mergeCell ref="AC82:AD82"/>
    <mergeCell ref="AH82:AI82"/>
    <mergeCell ref="X83:Y83"/>
    <mergeCell ref="AC83:AD83"/>
    <mergeCell ref="AH83:AI83"/>
    <mergeCell ref="X84:Y84"/>
    <mergeCell ref="AC84:AD84"/>
    <mergeCell ref="AH84:AI84"/>
    <mergeCell ref="X91:Y91"/>
    <mergeCell ref="AC91:AD91"/>
    <mergeCell ref="AH91:AI91"/>
    <mergeCell ref="X92:Y92"/>
    <mergeCell ref="AC92:AD92"/>
    <mergeCell ref="AH92:AI92"/>
    <mergeCell ref="X81:Y81"/>
    <mergeCell ref="AC81:AD81"/>
    <mergeCell ref="AH81:AI81"/>
    <mergeCell ref="X76:Y76"/>
    <mergeCell ref="AC76:AD76"/>
    <mergeCell ref="AH76:AI76"/>
    <mergeCell ref="X77:Y77"/>
    <mergeCell ref="AC77:AD77"/>
    <mergeCell ref="AH77:AI77"/>
    <mergeCell ref="X78:Y78"/>
    <mergeCell ref="AC78:AD78"/>
    <mergeCell ref="AH78:AI78"/>
    <mergeCell ref="X85:Y85"/>
    <mergeCell ref="AC85:AD85"/>
    <mergeCell ref="AH85:AI85"/>
    <mergeCell ref="X86:Y86"/>
    <mergeCell ref="AC86:AD86"/>
    <mergeCell ref="AH86:AI86"/>
    <mergeCell ref="X75:Y75"/>
    <mergeCell ref="AC75:AD75"/>
    <mergeCell ref="AH75:AI75"/>
    <mergeCell ref="X70:Y70"/>
    <mergeCell ref="AC70:AD70"/>
    <mergeCell ref="AH70:AI70"/>
    <mergeCell ref="X71:Y71"/>
    <mergeCell ref="AC71:AD71"/>
    <mergeCell ref="AH71:AI71"/>
    <mergeCell ref="X72:Y72"/>
    <mergeCell ref="AC72:AD72"/>
    <mergeCell ref="AH72:AI72"/>
    <mergeCell ref="X79:Y79"/>
    <mergeCell ref="AC79:AD79"/>
    <mergeCell ref="AH79:AI79"/>
    <mergeCell ref="X80:Y80"/>
    <mergeCell ref="AC80:AD80"/>
    <mergeCell ref="AH80:AI80"/>
    <mergeCell ref="X69:Y69"/>
    <mergeCell ref="AC69:AD69"/>
    <mergeCell ref="AH69:AI69"/>
    <mergeCell ref="X64:Y64"/>
    <mergeCell ref="AC64:AD64"/>
    <mergeCell ref="AH64:AI64"/>
    <mergeCell ref="X65:Y65"/>
    <mergeCell ref="AC65:AD65"/>
    <mergeCell ref="AH65:AI65"/>
    <mergeCell ref="X66:Y66"/>
    <mergeCell ref="AC66:AD66"/>
    <mergeCell ref="AH66:AI66"/>
    <mergeCell ref="X73:Y73"/>
    <mergeCell ref="AC73:AD73"/>
    <mergeCell ref="AH73:AI73"/>
    <mergeCell ref="X74:Y74"/>
    <mergeCell ref="AC74:AD74"/>
    <mergeCell ref="AH74:AI74"/>
    <mergeCell ref="X63:Y63"/>
    <mergeCell ref="AC63:AD63"/>
    <mergeCell ref="AH63:AI63"/>
    <mergeCell ref="X58:Y58"/>
    <mergeCell ref="AC58:AD58"/>
    <mergeCell ref="AH58:AI58"/>
    <mergeCell ref="X59:Y59"/>
    <mergeCell ref="AC59:AD59"/>
    <mergeCell ref="AH59:AI59"/>
    <mergeCell ref="X60:Y60"/>
    <mergeCell ref="AC60:AD60"/>
    <mergeCell ref="AH60:AI60"/>
    <mergeCell ref="X67:Y67"/>
    <mergeCell ref="AC67:AD67"/>
    <mergeCell ref="AH67:AI67"/>
    <mergeCell ref="X68:Y68"/>
    <mergeCell ref="AC68:AD68"/>
    <mergeCell ref="AH68:AI68"/>
    <mergeCell ref="X57:Y57"/>
    <mergeCell ref="AC57:AD57"/>
    <mergeCell ref="AH57:AI57"/>
    <mergeCell ref="X52:Y52"/>
    <mergeCell ref="AC52:AD52"/>
    <mergeCell ref="AH52:AI52"/>
    <mergeCell ref="X53:Y53"/>
    <mergeCell ref="AC53:AD53"/>
    <mergeCell ref="AH53:AI53"/>
    <mergeCell ref="X54:Y54"/>
    <mergeCell ref="AC54:AD54"/>
    <mergeCell ref="AH54:AI54"/>
    <mergeCell ref="X61:Y61"/>
    <mergeCell ref="AC61:AD61"/>
    <mergeCell ref="AH61:AI61"/>
    <mergeCell ref="X62:Y62"/>
    <mergeCell ref="AC62:AD62"/>
    <mergeCell ref="AH62:AI62"/>
    <mergeCell ref="X51:Y51"/>
    <mergeCell ref="AC51:AD51"/>
    <mergeCell ref="AH51:AI51"/>
    <mergeCell ref="X46:Y46"/>
    <mergeCell ref="AC46:AD46"/>
    <mergeCell ref="AH46:AI46"/>
    <mergeCell ref="X47:Y47"/>
    <mergeCell ref="AC47:AD47"/>
    <mergeCell ref="AH47:AI47"/>
    <mergeCell ref="X48:Y48"/>
    <mergeCell ref="AC48:AD48"/>
    <mergeCell ref="AH48:AI48"/>
    <mergeCell ref="X55:Y55"/>
    <mergeCell ref="AC55:AD55"/>
    <mergeCell ref="AH55:AI55"/>
    <mergeCell ref="X56:Y56"/>
    <mergeCell ref="AC56:AD56"/>
    <mergeCell ref="AH56:AI56"/>
    <mergeCell ref="X45:Y45"/>
    <mergeCell ref="AC45:AD45"/>
    <mergeCell ref="AH45:AI45"/>
    <mergeCell ref="X40:Y40"/>
    <mergeCell ref="AC40:AD40"/>
    <mergeCell ref="AH40:AI40"/>
    <mergeCell ref="X41:Y41"/>
    <mergeCell ref="AC41:AD41"/>
    <mergeCell ref="AH41:AI41"/>
    <mergeCell ref="X42:Y42"/>
    <mergeCell ref="AC42:AD42"/>
    <mergeCell ref="AH42:AI42"/>
    <mergeCell ref="X49:Y49"/>
    <mergeCell ref="AC49:AD49"/>
    <mergeCell ref="AH49:AI49"/>
    <mergeCell ref="X50:Y50"/>
    <mergeCell ref="AC50:AD50"/>
    <mergeCell ref="AH50:AI50"/>
    <mergeCell ref="X39:Y39"/>
    <mergeCell ref="AC39:AD39"/>
    <mergeCell ref="AH39:AI39"/>
    <mergeCell ref="X34:Y34"/>
    <mergeCell ref="AC34:AD34"/>
    <mergeCell ref="AH34:AI34"/>
    <mergeCell ref="X35:Y35"/>
    <mergeCell ref="AC35:AD35"/>
    <mergeCell ref="AH35:AI35"/>
    <mergeCell ref="X36:Y36"/>
    <mergeCell ref="AC36:AD36"/>
    <mergeCell ref="AH36:AI36"/>
    <mergeCell ref="X43:Y43"/>
    <mergeCell ref="AC43:AD43"/>
    <mergeCell ref="AH43:AI43"/>
    <mergeCell ref="X44:Y44"/>
    <mergeCell ref="AC44:AD44"/>
    <mergeCell ref="AH44:AI44"/>
    <mergeCell ref="X33:Y33"/>
    <mergeCell ref="AC33:AD33"/>
    <mergeCell ref="AH33:AI33"/>
    <mergeCell ref="X28:Y28"/>
    <mergeCell ref="AC28:AD28"/>
    <mergeCell ref="AH28:AI28"/>
    <mergeCell ref="X29:Y29"/>
    <mergeCell ref="AC29:AD29"/>
    <mergeCell ref="AH29:AI29"/>
    <mergeCell ref="X30:Y30"/>
    <mergeCell ref="AC30:AD30"/>
    <mergeCell ref="AH30:AI30"/>
    <mergeCell ref="X37:Y37"/>
    <mergeCell ref="AC37:AD37"/>
    <mergeCell ref="AH37:AI37"/>
    <mergeCell ref="X38:Y38"/>
    <mergeCell ref="AC38:AD38"/>
    <mergeCell ref="AH38:AI38"/>
    <mergeCell ref="X27:Y27"/>
    <mergeCell ref="AC27:AD27"/>
    <mergeCell ref="AH27:AI27"/>
    <mergeCell ref="X22:Y22"/>
    <mergeCell ref="AC22:AD22"/>
    <mergeCell ref="AH22:AI22"/>
    <mergeCell ref="X23:Y23"/>
    <mergeCell ref="AC23:AD23"/>
    <mergeCell ref="AH23:AI23"/>
    <mergeCell ref="X24:Y24"/>
    <mergeCell ref="AC24:AD24"/>
    <mergeCell ref="AH24:AI24"/>
    <mergeCell ref="X31:Y31"/>
    <mergeCell ref="AC31:AD31"/>
    <mergeCell ref="AH31:AI31"/>
    <mergeCell ref="X32:Y32"/>
    <mergeCell ref="AC32:AD32"/>
    <mergeCell ref="AH32:AI32"/>
    <mergeCell ref="X21:Y21"/>
    <mergeCell ref="AC21:AD21"/>
    <mergeCell ref="AH21:AI21"/>
    <mergeCell ref="X16:Y16"/>
    <mergeCell ref="AC16:AD16"/>
    <mergeCell ref="AH16:AI16"/>
    <mergeCell ref="X17:Y17"/>
    <mergeCell ref="AC17:AD17"/>
    <mergeCell ref="AH17:AI17"/>
    <mergeCell ref="X18:Y18"/>
    <mergeCell ref="AC18:AD18"/>
    <mergeCell ref="AH18:AI18"/>
    <mergeCell ref="X25:Y25"/>
    <mergeCell ref="AC25:AD25"/>
    <mergeCell ref="AH25:AI25"/>
    <mergeCell ref="X26:Y26"/>
    <mergeCell ref="AC26:AD26"/>
    <mergeCell ref="AH26:AI26"/>
    <mergeCell ref="X13:Y13"/>
    <mergeCell ref="AC13:AD13"/>
    <mergeCell ref="AH13:AI13"/>
    <mergeCell ref="X14:Y14"/>
    <mergeCell ref="AC14:AD14"/>
    <mergeCell ref="AH14:AI14"/>
    <mergeCell ref="X15:Y15"/>
    <mergeCell ref="AC15:AD15"/>
    <mergeCell ref="AH15:AI15"/>
    <mergeCell ref="AE11:AE12"/>
    <mergeCell ref="AF11:AF12"/>
    <mergeCell ref="X19:Y19"/>
    <mergeCell ref="AC19:AD19"/>
    <mergeCell ref="AH19:AI19"/>
    <mergeCell ref="X20:Y20"/>
    <mergeCell ref="AC20:AD20"/>
    <mergeCell ref="AH20:AI20"/>
    <mergeCell ref="A1:F1"/>
    <mergeCell ref="G1:H1"/>
    <mergeCell ref="I1:J1"/>
    <mergeCell ref="A2:F2"/>
    <mergeCell ref="G2:H2"/>
    <mergeCell ref="Z11:Z12"/>
    <mergeCell ref="AA11:AA12"/>
    <mergeCell ref="AG10:AI10"/>
    <mergeCell ref="AG11:AI11"/>
    <mergeCell ref="AH12:AI12"/>
    <mergeCell ref="Q9:S9"/>
    <mergeCell ref="B11:B12"/>
    <mergeCell ref="AE9:AI9"/>
    <mergeCell ref="I2:J2"/>
    <mergeCell ref="F3:G3"/>
    <mergeCell ref="H3:J3"/>
    <mergeCell ref="F4:G4"/>
    <mergeCell ref="I4:J4"/>
    <mergeCell ref="J11:J12"/>
    <mergeCell ref="A10:D10"/>
    <mergeCell ref="A9:L9"/>
    <mergeCell ref="H11:H12"/>
    <mergeCell ref="E11:E12"/>
    <mergeCell ref="F11:G11"/>
    <mergeCell ref="A3:E3"/>
    <mergeCell ref="B4:E4"/>
    <mergeCell ref="AB10:AD10"/>
    <mergeCell ref="AB11:AD11"/>
    <mergeCell ref="Z9:AD9"/>
    <mergeCell ref="W10:Y10"/>
    <mergeCell ref="X12:Y12"/>
    <mergeCell ref="T9:Y9"/>
    <mergeCell ref="I11:I12"/>
    <mergeCell ref="M9:N9"/>
    <mergeCell ref="M12:N12"/>
    <mergeCell ref="B5:E5"/>
    <mergeCell ref="F5:G5"/>
    <mergeCell ref="A6:B6"/>
    <mergeCell ref="C6:E6"/>
    <mergeCell ref="A7:B7"/>
    <mergeCell ref="C7:E7"/>
    <mergeCell ref="I5:J5"/>
    <mergeCell ref="O9:P9"/>
    <mergeCell ref="A8:S8"/>
    <mergeCell ref="T8:AI8"/>
    <mergeCell ref="C11:D11"/>
    <mergeCell ref="K11:K12"/>
    <mergeCell ref="F10:G10"/>
    <mergeCell ref="T11:T12"/>
    <mergeCell ref="U11:U12"/>
    <mergeCell ref="V11:V12"/>
    <mergeCell ref="L11:L12"/>
    <mergeCell ref="S11:S12"/>
    <mergeCell ref="AC12:AD12"/>
    <mergeCell ref="O12:P12"/>
    <mergeCell ref="Q12:R12"/>
    <mergeCell ref="W11:Y11"/>
    <mergeCell ref="F6:J7"/>
  </mergeCells>
  <dataValidations xWindow="58" yWindow="477" count="28">
    <dataValidation allowBlank="1" showInputMessage="1" showErrorMessage="1" prompt="Refer to Individual Work Paper, XI.2 Billing, if all of the elements within the individual's authorized residential setting codes are met enter the gross rate. If all of the elements are not met enter &quot;0&quot; in column &quot;P&quot; " sqref="JP65466 TL65466 ADH65466 AND65466 AWZ65466 BGV65466 BQR65466 CAN65466 CKJ65466 CUF65466 DEB65466 DNX65466 DXT65466 EHP65466 ERL65466 FBH65466 FLD65466 FUZ65466 GEV65466 GOR65466 GYN65466 HIJ65466 HSF65466 ICB65466 ILX65466 IVT65466 JFP65466 JPL65466 JZH65466 KJD65466 KSZ65466 LCV65466 LMR65466 LWN65466 MGJ65466 MQF65466 NAB65466 NJX65466 NTT65466 ODP65466 ONL65466 OXH65466 PHD65466 PQZ65466 QAV65466 QKR65466 QUN65466 REJ65466 ROF65466 RYB65466 SHX65466 SRT65466 TBP65466 TLL65466 TVH65466 UFD65466 UOZ65466 UYV65466 VIR65466 VSN65466 WCJ65466 WMF65466 WWB65466 T131031 JP131002 TL131002 ADH131002 AND131002 AWZ131002 BGV131002 BQR131002 CAN131002 CKJ131002 CUF131002 DEB131002 DNX131002 DXT131002 EHP131002 ERL131002 FBH131002 FLD131002 FUZ131002 GEV131002 GOR131002 GYN131002 HIJ131002 HSF131002 ICB131002 ILX131002 IVT131002 JFP131002 JPL131002 JZH131002 KJD131002 KSZ131002 LCV131002 LMR131002 LWN131002 MGJ131002 MQF131002 NAB131002 NJX131002 NTT131002 ODP131002 ONL131002 OXH131002 PHD131002 PQZ131002 QAV131002 QKR131002 QUN131002 REJ131002 ROF131002 RYB131002 SHX131002 SRT131002 TBP131002 TLL131002 TVH131002 UFD131002 UOZ131002 UYV131002 VIR131002 VSN131002 WCJ131002 WMF131002 WWB131002 T196567 JP196538 TL196538 ADH196538 AND196538 AWZ196538 BGV196538 BQR196538 CAN196538 CKJ196538 CUF196538 DEB196538 DNX196538 DXT196538 EHP196538 ERL196538 FBH196538 FLD196538 FUZ196538 GEV196538 GOR196538 GYN196538 HIJ196538 HSF196538 ICB196538 ILX196538 IVT196538 JFP196538 JPL196538 JZH196538 KJD196538 KSZ196538 LCV196538 LMR196538 LWN196538 MGJ196538 MQF196538 NAB196538 NJX196538 NTT196538 ODP196538 ONL196538 OXH196538 PHD196538 PQZ196538 QAV196538 QKR196538 QUN196538 REJ196538 ROF196538 RYB196538 SHX196538 SRT196538 TBP196538 TLL196538 TVH196538 UFD196538 UOZ196538 UYV196538 VIR196538 VSN196538 WCJ196538 WMF196538 WWB196538 T262103 JP262074 TL262074 ADH262074 AND262074 AWZ262074 BGV262074 BQR262074 CAN262074 CKJ262074 CUF262074 DEB262074 DNX262074 DXT262074 EHP262074 ERL262074 FBH262074 FLD262074 FUZ262074 GEV262074 GOR262074 GYN262074 HIJ262074 HSF262074 ICB262074 ILX262074 IVT262074 JFP262074 JPL262074 JZH262074 KJD262074 KSZ262074 LCV262074 LMR262074 LWN262074 MGJ262074 MQF262074 NAB262074 NJX262074 NTT262074 ODP262074 ONL262074 OXH262074 PHD262074 PQZ262074 QAV262074 QKR262074 QUN262074 REJ262074 ROF262074 RYB262074 SHX262074 SRT262074 TBP262074 TLL262074 TVH262074 UFD262074 UOZ262074 UYV262074 VIR262074 VSN262074 WCJ262074 WMF262074 WWB262074 T327639 JP327610 TL327610 ADH327610 AND327610 AWZ327610 BGV327610 BQR327610 CAN327610 CKJ327610 CUF327610 DEB327610 DNX327610 DXT327610 EHP327610 ERL327610 FBH327610 FLD327610 FUZ327610 GEV327610 GOR327610 GYN327610 HIJ327610 HSF327610 ICB327610 ILX327610 IVT327610 JFP327610 JPL327610 JZH327610 KJD327610 KSZ327610 LCV327610 LMR327610 LWN327610 MGJ327610 MQF327610 NAB327610 NJX327610 NTT327610 ODP327610 ONL327610 OXH327610 PHD327610 PQZ327610 QAV327610 QKR327610 QUN327610 REJ327610 ROF327610 RYB327610 SHX327610 SRT327610 TBP327610 TLL327610 TVH327610 UFD327610 UOZ327610 UYV327610 VIR327610 VSN327610 WCJ327610 WMF327610 WWB327610 T393175 JP393146 TL393146 ADH393146 AND393146 AWZ393146 BGV393146 BQR393146 CAN393146 CKJ393146 CUF393146 DEB393146 DNX393146 DXT393146 EHP393146 ERL393146 FBH393146 FLD393146 FUZ393146 GEV393146 GOR393146 GYN393146 HIJ393146 HSF393146 ICB393146 ILX393146 IVT393146 JFP393146 JPL393146 JZH393146 KJD393146 KSZ393146 LCV393146 LMR393146 LWN393146 MGJ393146 MQF393146 NAB393146 NJX393146 NTT393146 ODP393146 ONL393146 OXH393146 PHD393146 PQZ393146 QAV393146 QKR393146 QUN393146 REJ393146 ROF393146 RYB393146 SHX393146 SRT393146 TBP393146 TLL393146 TVH393146 UFD393146 UOZ393146 UYV393146 VIR393146 VSN393146 WCJ393146 WMF393146 WWB393146 T458711 JP458682 TL458682 ADH458682 AND458682 AWZ458682 BGV458682 BQR458682 CAN458682 CKJ458682 CUF458682 DEB458682 DNX458682 DXT458682 EHP458682 ERL458682 FBH458682 FLD458682 FUZ458682 GEV458682 GOR458682 GYN458682 HIJ458682 HSF458682 ICB458682 ILX458682 IVT458682 JFP458682 JPL458682 JZH458682 KJD458682 KSZ458682 LCV458682 LMR458682 LWN458682 MGJ458682 MQF458682 NAB458682 NJX458682 NTT458682 ODP458682 ONL458682 OXH458682 PHD458682 PQZ458682 QAV458682 QKR458682 QUN458682 REJ458682 ROF458682 RYB458682 SHX458682 SRT458682 TBP458682 TLL458682 TVH458682 UFD458682 UOZ458682 UYV458682 VIR458682 VSN458682 WCJ458682 WMF458682 WWB458682 T524247 JP524218 TL524218 ADH524218 AND524218 AWZ524218 BGV524218 BQR524218 CAN524218 CKJ524218 CUF524218 DEB524218 DNX524218 DXT524218 EHP524218 ERL524218 FBH524218 FLD524218 FUZ524218 GEV524218 GOR524218 GYN524218 HIJ524218 HSF524218 ICB524218 ILX524218 IVT524218 JFP524218 JPL524218 JZH524218 KJD524218 KSZ524218 LCV524218 LMR524218 LWN524218 MGJ524218 MQF524218 NAB524218 NJX524218 NTT524218 ODP524218 ONL524218 OXH524218 PHD524218 PQZ524218 QAV524218 QKR524218 QUN524218 REJ524218 ROF524218 RYB524218 SHX524218 SRT524218 TBP524218 TLL524218 TVH524218 UFD524218 UOZ524218 UYV524218 VIR524218 VSN524218 WCJ524218 WMF524218 WWB524218 T589783 JP589754 TL589754 ADH589754 AND589754 AWZ589754 BGV589754 BQR589754 CAN589754 CKJ589754 CUF589754 DEB589754 DNX589754 DXT589754 EHP589754 ERL589754 FBH589754 FLD589754 FUZ589754 GEV589754 GOR589754 GYN589754 HIJ589754 HSF589754 ICB589754 ILX589754 IVT589754 JFP589754 JPL589754 JZH589754 KJD589754 KSZ589754 LCV589754 LMR589754 LWN589754 MGJ589754 MQF589754 NAB589754 NJX589754 NTT589754 ODP589754 ONL589754 OXH589754 PHD589754 PQZ589754 QAV589754 QKR589754 QUN589754 REJ589754 ROF589754 RYB589754 SHX589754 SRT589754 TBP589754 TLL589754 TVH589754 UFD589754 UOZ589754 UYV589754 VIR589754 VSN589754 WCJ589754 WMF589754 WWB589754 T655319 JP655290 TL655290 ADH655290 AND655290 AWZ655290 BGV655290 BQR655290 CAN655290 CKJ655290 CUF655290 DEB655290 DNX655290 DXT655290 EHP655290 ERL655290 FBH655290 FLD655290 FUZ655290 GEV655290 GOR655290 GYN655290 HIJ655290 HSF655290 ICB655290 ILX655290 IVT655290 JFP655290 JPL655290 JZH655290 KJD655290 KSZ655290 LCV655290 LMR655290 LWN655290 MGJ655290 MQF655290 NAB655290 NJX655290 NTT655290 ODP655290 ONL655290 OXH655290 PHD655290 PQZ655290 QAV655290 QKR655290 QUN655290 REJ655290 ROF655290 RYB655290 SHX655290 SRT655290 TBP655290 TLL655290 TVH655290 UFD655290 UOZ655290 UYV655290 VIR655290 VSN655290 WCJ655290 WMF655290 WWB655290 T720855 JP720826 TL720826 ADH720826 AND720826 AWZ720826 BGV720826 BQR720826 CAN720826 CKJ720826 CUF720826 DEB720826 DNX720826 DXT720826 EHP720826 ERL720826 FBH720826 FLD720826 FUZ720826 GEV720826 GOR720826 GYN720826 HIJ720826 HSF720826 ICB720826 ILX720826 IVT720826 JFP720826 JPL720826 JZH720826 KJD720826 KSZ720826 LCV720826 LMR720826 LWN720826 MGJ720826 MQF720826 NAB720826 NJX720826 NTT720826 ODP720826 ONL720826 OXH720826 PHD720826 PQZ720826 QAV720826 QKR720826 QUN720826 REJ720826 ROF720826 RYB720826 SHX720826 SRT720826 TBP720826 TLL720826 TVH720826 UFD720826 UOZ720826 UYV720826 VIR720826 VSN720826 WCJ720826 WMF720826 WWB720826 T786391 JP786362 TL786362 ADH786362 AND786362 AWZ786362 BGV786362 BQR786362 CAN786362 CKJ786362 CUF786362 DEB786362 DNX786362 DXT786362 EHP786362 ERL786362 FBH786362 FLD786362 FUZ786362 GEV786362 GOR786362 GYN786362 HIJ786362 HSF786362 ICB786362 ILX786362 IVT786362 JFP786362 JPL786362 JZH786362 KJD786362 KSZ786362 LCV786362 LMR786362 LWN786362 MGJ786362 MQF786362 NAB786362 NJX786362 NTT786362 ODP786362 ONL786362 OXH786362 PHD786362 PQZ786362 QAV786362 QKR786362 QUN786362 REJ786362 ROF786362 RYB786362 SHX786362 SRT786362 TBP786362 TLL786362 TVH786362 UFD786362 UOZ786362 UYV786362 VIR786362 VSN786362 WCJ786362 WMF786362 WWB786362 T851927 JP851898 TL851898 ADH851898 AND851898 AWZ851898 BGV851898 BQR851898 CAN851898 CKJ851898 CUF851898 DEB851898 DNX851898 DXT851898 EHP851898 ERL851898 FBH851898 FLD851898 FUZ851898 GEV851898 GOR851898 GYN851898 HIJ851898 HSF851898 ICB851898 ILX851898 IVT851898 JFP851898 JPL851898 JZH851898 KJD851898 KSZ851898 LCV851898 LMR851898 LWN851898 MGJ851898 MQF851898 NAB851898 NJX851898 NTT851898 ODP851898 ONL851898 OXH851898 PHD851898 PQZ851898 QAV851898 QKR851898 QUN851898 REJ851898 ROF851898 RYB851898 SHX851898 SRT851898 TBP851898 TLL851898 TVH851898 UFD851898 UOZ851898 UYV851898 VIR851898 VSN851898 WCJ851898 WMF851898 WWB851898 T917463 JP917434 TL917434 ADH917434 AND917434 AWZ917434 BGV917434 BQR917434 CAN917434 CKJ917434 CUF917434 DEB917434 DNX917434 DXT917434 EHP917434 ERL917434 FBH917434 FLD917434 FUZ917434 GEV917434 GOR917434 GYN917434 HIJ917434 HSF917434 ICB917434 ILX917434 IVT917434 JFP917434 JPL917434 JZH917434 KJD917434 KSZ917434 LCV917434 LMR917434 LWN917434 MGJ917434 MQF917434 NAB917434 NJX917434 NTT917434 ODP917434 ONL917434 OXH917434 PHD917434 PQZ917434 QAV917434 QKR917434 QUN917434 REJ917434 ROF917434 RYB917434 SHX917434 SRT917434 TBP917434 TLL917434 TVH917434 UFD917434 UOZ917434 UYV917434 VIR917434 VSN917434 WCJ917434 WMF917434 WWB917434 T982999 JP982970 TL982970 ADH982970 AND982970 AWZ982970 BGV982970 BQR982970 CAN982970 CKJ982970 CUF982970 DEB982970 DNX982970 DXT982970 EHP982970 ERL982970 FBH982970 FLD982970 FUZ982970 GEV982970 GOR982970 GYN982970 HIJ982970 HSF982970 ICB982970 ILX982970 IVT982970 JFP982970 JPL982970 JZH982970 KJD982970 KSZ982970 LCV982970 LMR982970 LWN982970 MGJ982970 MQF982970 NAB982970 NJX982970 NTT982970 ODP982970 ONL982970 OXH982970 PHD982970 PQZ982970 QAV982970 QKR982970 QUN982970 REJ982970 ROF982970 RYB982970 SHX982970 SRT982970 TBP982970 TLL982970 TVH982970 UFD982970 UOZ982970 UYV982970 VIR982970 VSN982970 WCJ982970 WMF982970 WWB982970 T65495" xr:uid="{00000000-0002-0000-0E00-000000000000}"/>
    <dataValidation allowBlank="1" showInputMessage="1" showErrorMessage="1" prompt="Enter the authorized base monthly co-pay. For CBA refer to F2065B , for CCAD refer to F2065A, for CWP refer to  F2200, for ICM refer to  F2065." sqref="JH65466:JH65490 TD65466:TD65490 ACZ65466:ACZ65490 AMV65466:AMV65490 AWR65466:AWR65490 BGN65466:BGN65490 BQJ65466:BQJ65490 CAF65466:CAF65490 CKB65466:CKB65490 CTX65466:CTX65490 DDT65466:DDT65490 DNP65466:DNP65490 DXL65466:DXL65490 EHH65466:EHH65490 ERD65466:ERD65490 FAZ65466:FAZ65490 FKV65466:FKV65490 FUR65466:FUR65490 GEN65466:GEN65490 GOJ65466:GOJ65490 GYF65466:GYF65490 HIB65466:HIB65490 HRX65466:HRX65490 IBT65466:IBT65490 ILP65466:ILP65490 IVL65466:IVL65490 JFH65466:JFH65490 JPD65466:JPD65490 JYZ65466:JYZ65490 KIV65466:KIV65490 KSR65466:KSR65490 LCN65466:LCN65490 LMJ65466:LMJ65490 LWF65466:LWF65490 MGB65466:MGB65490 MPX65466:MPX65490 MZT65466:MZT65490 NJP65466:NJP65490 NTL65466:NTL65490 ODH65466:ODH65490 OND65466:OND65490 OWZ65466:OWZ65490 PGV65466:PGV65490 PQR65466:PQR65490 QAN65466:QAN65490 QKJ65466:QKJ65490 QUF65466:QUF65490 REB65466:REB65490 RNX65466:RNX65490 RXT65466:RXT65490 SHP65466:SHP65490 SRL65466:SRL65490 TBH65466:TBH65490 TLD65466:TLD65490 TUZ65466:TUZ65490 UEV65466:UEV65490 UOR65466:UOR65490 UYN65466:UYN65490 VIJ65466:VIJ65490 VSF65466:VSF65490 WCB65466:WCB65490 WLX65466:WLX65490 WVT65466:WVT65490 L131060:L131084 JH131002:JH131026 TD131002:TD131026 ACZ131002:ACZ131026 AMV131002:AMV131026 AWR131002:AWR131026 BGN131002:BGN131026 BQJ131002:BQJ131026 CAF131002:CAF131026 CKB131002:CKB131026 CTX131002:CTX131026 DDT131002:DDT131026 DNP131002:DNP131026 DXL131002:DXL131026 EHH131002:EHH131026 ERD131002:ERD131026 FAZ131002:FAZ131026 FKV131002:FKV131026 FUR131002:FUR131026 GEN131002:GEN131026 GOJ131002:GOJ131026 GYF131002:GYF131026 HIB131002:HIB131026 HRX131002:HRX131026 IBT131002:IBT131026 ILP131002:ILP131026 IVL131002:IVL131026 JFH131002:JFH131026 JPD131002:JPD131026 JYZ131002:JYZ131026 KIV131002:KIV131026 KSR131002:KSR131026 LCN131002:LCN131026 LMJ131002:LMJ131026 LWF131002:LWF131026 MGB131002:MGB131026 MPX131002:MPX131026 MZT131002:MZT131026 NJP131002:NJP131026 NTL131002:NTL131026 ODH131002:ODH131026 OND131002:OND131026 OWZ131002:OWZ131026 PGV131002:PGV131026 PQR131002:PQR131026 QAN131002:QAN131026 QKJ131002:QKJ131026 QUF131002:QUF131026 REB131002:REB131026 RNX131002:RNX131026 RXT131002:RXT131026 SHP131002:SHP131026 SRL131002:SRL131026 TBH131002:TBH131026 TLD131002:TLD131026 TUZ131002:TUZ131026 UEV131002:UEV131026 UOR131002:UOR131026 UYN131002:UYN131026 VIJ131002:VIJ131026 VSF131002:VSF131026 WCB131002:WCB131026 WLX131002:WLX131026 WVT131002:WVT131026 L196596:L196620 JH196538:JH196562 TD196538:TD196562 ACZ196538:ACZ196562 AMV196538:AMV196562 AWR196538:AWR196562 BGN196538:BGN196562 BQJ196538:BQJ196562 CAF196538:CAF196562 CKB196538:CKB196562 CTX196538:CTX196562 DDT196538:DDT196562 DNP196538:DNP196562 DXL196538:DXL196562 EHH196538:EHH196562 ERD196538:ERD196562 FAZ196538:FAZ196562 FKV196538:FKV196562 FUR196538:FUR196562 GEN196538:GEN196562 GOJ196538:GOJ196562 GYF196538:GYF196562 HIB196538:HIB196562 HRX196538:HRX196562 IBT196538:IBT196562 ILP196538:ILP196562 IVL196538:IVL196562 JFH196538:JFH196562 JPD196538:JPD196562 JYZ196538:JYZ196562 KIV196538:KIV196562 KSR196538:KSR196562 LCN196538:LCN196562 LMJ196538:LMJ196562 LWF196538:LWF196562 MGB196538:MGB196562 MPX196538:MPX196562 MZT196538:MZT196562 NJP196538:NJP196562 NTL196538:NTL196562 ODH196538:ODH196562 OND196538:OND196562 OWZ196538:OWZ196562 PGV196538:PGV196562 PQR196538:PQR196562 QAN196538:QAN196562 QKJ196538:QKJ196562 QUF196538:QUF196562 REB196538:REB196562 RNX196538:RNX196562 RXT196538:RXT196562 SHP196538:SHP196562 SRL196538:SRL196562 TBH196538:TBH196562 TLD196538:TLD196562 TUZ196538:TUZ196562 UEV196538:UEV196562 UOR196538:UOR196562 UYN196538:UYN196562 VIJ196538:VIJ196562 VSF196538:VSF196562 WCB196538:WCB196562 WLX196538:WLX196562 WVT196538:WVT196562 L262132:L262156 JH262074:JH262098 TD262074:TD262098 ACZ262074:ACZ262098 AMV262074:AMV262098 AWR262074:AWR262098 BGN262074:BGN262098 BQJ262074:BQJ262098 CAF262074:CAF262098 CKB262074:CKB262098 CTX262074:CTX262098 DDT262074:DDT262098 DNP262074:DNP262098 DXL262074:DXL262098 EHH262074:EHH262098 ERD262074:ERD262098 FAZ262074:FAZ262098 FKV262074:FKV262098 FUR262074:FUR262098 GEN262074:GEN262098 GOJ262074:GOJ262098 GYF262074:GYF262098 HIB262074:HIB262098 HRX262074:HRX262098 IBT262074:IBT262098 ILP262074:ILP262098 IVL262074:IVL262098 JFH262074:JFH262098 JPD262074:JPD262098 JYZ262074:JYZ262098 KIV262074:KIV262098 KSR262074:KSR262098 LCN262074:LCN262098 LMJ262074:LMJ262098 LWF262074:LWF262098 MGB262074:MGB262098 MPX262074:MPX262098 MZT262074:MZT262098 NJP262074:NJP262098 NTL262074:NTL262098 ODH262074:ODH262098 OND262074:OND262098 OWZ262074:OWZ262098 PGV262074:PGV262098 PQR262074:PQR262098 QAN262074:QAN262098 QKJ262074:QKJ262098 QUF262074:QUF262098 REB262074:REB262098 RNX262074:RNX262098 RXT262074:RXT262098 SHP262074:SHP262098 SRL262074:SRL262098 TBH262074:TBH262098 TLD262074:TLD262098 TUZ262074:TUZ262098 UEV262074:UEV262098 UOR262074:UOR262098 UYN262074:UYN262098 VIJ262074:VIJ262098 VSF262074:VSF262098 WCB262074:WCB262098 WLX262074:WLX262098 WVT262074:WVT262098 L327668:L327692 JH327610:JH327634 TD327610:TD327634 ACZ327610:ACZ327634 AMV327610:AMV327634 AWR327610:AWR327634 BGN327610:BGN327634 BQJ327610:BQJ327634 CAF327610:CAF327634 CKB327610:CKB327634 CTX327610:CTX327634 DDT327610:DDT327634 DNP327610:DNP327634 DXL327610:DXL327634 EHH327610:EHH327634 ERD327610:ERD327634 FAZ327610:FAZ327634 FKV327610:FKV327634 FUR327610:FUR327634 GEN327610:GEN327634 GOJ327610:GOJ327634 GYF327610:GYF327634 HIB327610:HIB327634 HRX327610:HRX327634 IBT327610:IBT327634 ILP327610:ILP327634 IVL327610:IVL327634 JFH327610:JFH327634 JPD327610:JPD327634 JYZ327610:JYZ327634 KIV327610:KIV327634 KSR327610:KSR327634 LCN327610:LCN327634 LMJ327610:LMJ327634 LWF327610:LWF327634 MGB327610:MGB327634 MPX327610:MPX327634 MZT327610:MZT327634 NJP327610:NJP327634 NTL327610:NTL327634 ODH327610:ODH327634 OND327610:OND327634 OWZ327610:OWZ327634 PGV327610:PGV327634 PQR327610:PQR327634 QAN327610:QAN327634 QKJ327610:QKJ327634 QUF327610:QUF327634 REB327610:REB327634 RNX327610:RNX327634 RXT327610:RXT327634 SHP327610:SHP327634 SRL327610:SRL327634 TBH327610:TBH327634 TLD327610:TLD327634 TUZ327610:TUZ327634 UEV327610:UEV327634 UOR327610:UOR327634 UYN327610:UYN327634 VIJ327610:VIJ327634 VSF327610:VSF327634 WCB327610:WCB327634 WLX327610:WLX327634 WVT327610:WVT327634 L393204:L393228 JH393146:JH393170 TD393146:TD393170 ACZ393146:ACZ393170 AMV393146:AMV393170 AWR393146:AWR393170 BGN393146:BGN393170 BQJ393146:BQJ393170 CAF393146:CAF393170 CKB393146:CKB393170 CTX393146:CTX393170 DDT393146:DDT393170 DNP393146:DNP393170 DXL393146:DXL393170 EHH393146:EHH393170 ERD393146:ERD393170 FAZ393146:FAZ393170 FKV393146:FKV393170 FUR393146:FUR393170 GEN393146:GEN393170 GOJ393146:GOJ393170 GYF393146:GYF393170 HIB393146:HIB393170 HRX393146:HRX393170 IBT393146:IBT393170 ILP393146:ILP393170 IVL393146:IVL393170 JFH393146:JFH393170 JPD393146:JPD393170 JYZ393146:JYZ393170 KIV393146:KIV393170 KSR393146:KSR393170 LCN393146:LCN393170 LMJ393146:LMJ393170 LWF393146:LWF393170 MGB393146:MGB393170 MPX393146:MPX393170 MZT393146:MZT393170 NJP393146:NJP393170 NTL393146:NTL393170 ODH393146:ODH393170 OND393146:OND393170 OWZ393146:OWZ393170 PGV393146:PGV393170 PQR393146:PQR393170 QAN393146:QAN393170 QKJ393146:QKJ393170 QUF393146:QUF393170 REB393146:REB393170 RNX393146:RNX393170 RXT393146:RXT393170 SHP393146:SHP393170 SRL393146:SRL393170 TBH393146:TBH393170 TLD393146:TLD393170 TUZ393146:TUZ393170 UEV393146:UEV393170 UOR393146:UOR393170 UYN393146:UYN393170 VIJ393146:VIJ393170 VSF393146:VSF393170 WCB393146:WCB393170 WLX393146:WLX393170 WVT393146:WVT393170 L458740:L458764 JH458682:JH458706 TD458682:TD458706 ACZ458682:ACZ458706 AMV458682:AMV458706 AWR458682:AWR458706 BGN458682:BGN458706 BQJ458682:BQJ458706 CAF458682:CAF458706 CKB458682:CKB458706 CTX458682:CTX458706 DDT458682:DDT458706 DNP458682:DNP458706 DXL458682:DXL458706 EHH458682:EHH458706 ERD458682:ERD458706 FAZ458682:FAZ458706 FKV458682:FKV458706 FUR458682:FUR458706 GEN458682:GEN458706 GOJ458682:GOJ458706 GYF458682:GYF458706 HIB458682:HIB458706 HRX458682:HRX458706 IBT458682:IBT458706 ILP458682:ILP458706 IVL458682:IVL458706 JFH458682:JFH458706 JPD458682:JPD458706 JYZ458682:JYZ458706 KIV458682:KIV458706 KSR458682:KSR458706 LCN458682:LCN458706 LMJ458682:LMJ458706 LWF458682:LWF458706 MGB458682:MGB458706 MPX458682:MPX458706 MZT458682:MZT458706 NJP458682:NJP458706 NTL458682:NTL458706 ODH458682:ODH458706 OND458682:OND458706 OWZ458682:OWZ458706 PGV458682:PGV458706 PQR458682:PQR458706 QAN458682:QAN458706 QKJ458682:QKJ458706 QUF458682:QUF458706 REB458682:REB458706 RNX458682:RNX458706 RXT458682:RXT458706 SHP458682:SHP458706 SRL458682:SRL458706 TBH458682:TBH458706 TLD458682:TLD458706 TUZ458682:TUZ458706 UEV458682:UEV458706 UOR458682:UOR458706 UYN458682:UYN458706 VIJ458682:VIJ458706 VSF458682:VSF458706 WCB458682:WCB458706 WLX458682:WLX458706 WVT458682:WVT458706 L524276:L524300 JH524218:JH524242 TD524218:TD524242 ACZ524218:ACZ524242 AMV524218:AMV524242 AWR524218:AWR524242 BGN524218:BGN524242 BQJ524218:BQJ524242 CAF524218:CAF524242 CKB524218:CKB524242 CTX524218:CTX524242 DDT524218:DDT524242 DNP524218:DNP524242 DXL524218:DXL524242 EHH524218:EHH524242 ERD524218:ERD524242 FAZ524218:FAZ524242 FKV524218:FKV524242 FUR524218:FUR524242 GEN524218:GEN524242 GOJ524218:GOJ524242 GYF524218:GYF524242 HIB524218:HIB524242 HRX524218:HRX524242 IBT524218:IBT524242 ILP524218:ILP524242 IVL524218:IVL524242 JFH524218:JFH524242 JPD524218:JPD524242 JYZ524218:JYZ524242 KIV524218:KIV524242 KSR524218:KSR524242 LCN524218:LCN524242 LMJ524218:LMJ524242 LWF524218:LWF524242 MGB524218:MGB524242 MPX524218:MPX524242 MZT524218:MZT524242 NJP524218:NJP524242 NTL524218:NTL524242 ODH524218:ODH524242 OND524218:OND524242 OWZ524218:OWZ524242 PGV524218:PGV524242 PQR524218:PQR524242 QAN524218:QAN524242 QKJ524218:QKJ524242 QUF524218:QUF524242 REB524218:REB524242 RNX524218:RNX524242 RXT524218:RXT524242 SHP524218:SHP524242 SRL524218:SRL524242 TBH524218:TBH524242 TLD524218:TLD524242 TUZ524218:TUZ524242 UEV524218:UEV524242 UOR524218:UOR524242 UYN524218:UYN524242 VIJ524218:VIJ524242 VSF524218:VSF524242 WCB524218:WCB524242 WLX524218:WLX524242 WVT524218:WVT524242 L589812:L589836 JH589754:JH589778 TD589754:TD589778 ACZ589754:ACZ589778 AMV589754:AMV589778 AWR589754:AWR589778 BGN589754:BGN589778 BQJ589754:BQJ589778 CAF589754:CAF589778 CKB589754:CKB589778 CTX589754:CTX589778 DDT589754:DDT589778 DNP589754:DNP589778 DXL589754:DXL589778 EHH589754:EHH589778 ERD589754:ERD589778 FAZ589754:FAZ589778 FKV589754:FKV589778 FUR589754:FUR589778 GEN589754:GEN589778 GOJ589754:GOJ589778 GYF589754:GYF589778 HIB589754:HIB589778 HRX589754:HRX589778 IBT589754:IBT589778 ILP589754:ILP589778 IVL589754:IVL589778 JFH589754:JFH589778 JPD589754:JPD589778 JYZ589754:JYZ589778 KIV589754:KIV589778 KSR589754:KSR589778 LCN589754:LCN589778 LMJ589754:LMJ589778 LWF589754:LWF589778 MGB589754:MGB589778 MPX589754:MPX589778 MZT589754:MZT589778 NJP589754:NJP589778 NTL589754:NTL589778 ODH589754:ODH589778 OND589754:OND589778 OWZ589754:OWZ589778 PGV589754:PGV589778 PQR589754:PQR589778 QAN589754:QAN589778 QKJ589754:QKJ589778 QUF589754:QUF589778 REB589754:REB589778 RNX589754:RNX589778 RXT589754:RXT589778 SHP589754:SHP589778 SRL589754:SRL589778 TBH589754:TBH589778 TLD589754:TLD589778 TUZ589754:TUZ589778 UEV589754:UEV589778 UOR589754:UOR589778 UYN589754:UYN589778 VIJ589754:VIJ589778 VSF589754:VSF589778 WCB589754:WCB589778 WLX589754:WLX589778 WVT589754:WVT589778 L655348:L655372 JH655290:JH655314 TD655290:TD655314 ACZ655290:ACZ655314 AMV655290:AMV655314 AWR655290:AWR655314 BGN655290:BGN655314 BQJ655290:BQJ655314 CAF655290:CAF655314 CKB655290:CKB655314 CTX655290:CTX655314 DDT655290:DDT655314 DNP655290:DNP655314 DXL655290:DXL655314 EHH655290:EHH655314 ERD655290:ERD655314 FAZ655290:FAZ655314 FKV655290:FKV655314 FUR655290:FUR655314 GEN655290:GEN655314 GOJ655290:GOJ655314 GYF655290:GYF655314 HIB655290:HIB655314 HRX655290:HRX655314 IBT655290:IBT655314 ILP655290:ILP655314 IVL655290:IVL655314 JFH655290:JFH655314 JPD655290:JPD655314 JYZ655290:JYZ655314 KIV655290:KIV655314 KSR655290:KSR655314 LCN655290:LCN655314 LMJ655290:LMJ655314 LWF655290:LWF655314 MGB655290:MGB655314 MPX655290:MPX655314 MZT655290:MZT655314 NJP655290:NJP655314 NTL655290:NTL655314 ODH655290:ODH655314 OND655290:OND655314 OWZ655290:OWZ655314 PGV655290:PGV655314 PQR655290:PQR655314 QAN655290:QAN655314 QKJ655290:QKJ655314 QUF655290:QUF655314 REB655290:REB655314 RNX655290:RNX655314 RXT655290:RXT655314 SHP655290:SHP655314 SRL655290:SRL655314 TBH655290:TBH655314 TLD655290:TLD655314 TUZ655290:TUZ655314 UEV655290:UEV655314 UOR655290:UOR655314 UYN655290:UYN655314 VIJ655290:VIJ655314 VSF655290:VSF655314 WCB655290:WCB655314 WLX655290:WLX655314 WVT655290:WVT655314 L720884:L720908 JH720826:JH720850 TD720826:TD720850 ACZ720826:ACZ720850 AMV720826:AMV720850 AWR720826:AWR720850 BGN720826:BGN720850 BQJ720826:BQJ720850 CAF720826:CAF720850 CKB720826:CKB720850 CTX720826:CTX720850 DDT720826:DDT720850 DNP720826:DNP720850 DXL720826:DXL720850 EHH720826:EHH720850 ERD720826:ERD720850 FAZ720826:FAZ720850 FKV720826:FKV720850 FUR720826:FUR720850 GEN720826:GEN720850 GOJ720826:GOJ720850 GYF720826:GYF720850 HIB720826:HIB720850 HRX720826:HRX720850 IBT720826:IBT720850 ILP720826:ILP720850 IVL720826:IVL720850 JFH720826:JFH720850 JPD720826:JPD720850 JYZ720826:JYZ720850 KIV720826:KIV720850 KSR720826:KSR720850 LCN720826:LCN720850 LMJ720826:LMJ720850 LWF720826:LWF720850 MGB720826:MGB720850 MPX720826:MPX720850 MZT720826:MZT720850 NJP720826:NJP720850 NTL720826:NTL720850 ODH720826:ODH720850 OND720826:OND720850 OWZ720826:OWZ720850 PGV720826:PGV720850 PQR720826:PQR720850 QAN720826:QAN720850 QKJ720826:QKJ720850 QUF720826:QUF720850 REB720826:REB720850 RNX720826:RNX720850 RXT720826:RXT720850 SHP720826:SHP720850 SRL720826:SRL720850 TBH720826:TBH720850 TLD720826:TLD720850 TUZ720826:TUZ720850 UEV720826:UEV720850 UOR720826:UOR720850 UYN720826:UYN720850 VIJ720826:VIJ720850 VSF720826:VSF720850 WCB720826:WCB720850 WLX720826:WLX720850 WVT720826:WVT720850 L786420:L786444 JH786362:JH786386 TD786362:TD786386 ACZ786362:ACZ786386 AMV786362:AMV786386 AWR786362:AWR786386 BGN786362:BGN786386 BQJ786362:BQJ786386 CAF786362:CAF786386 CKB786362:CKB786386 CTX786362:CTX786386 DDT786362:DDT786386 DNP786362:DNP786386 DXL786362:DXL786386 EHH786362:EHH786386 ERD786362:ERD786386 FAZ786362:FAZ786386 FKV786362:FKV786386 FUR786362:FUR786386 GEN786362:GEN786386 GOJ786362:GOJ786386 GYF786362:GYF786386 HIB786362:HIB786386 HRX786362:HRX786386 IBT786362:IBT786386 ILP786362:ILP786386 IVL786362:IVL786386 JFH786362:JFH786386 JPD786362:JPD786386 JYZ786362:JYZ786386 KIV786362:KIV786386 KSR786362:KSR786386 LCN786362:LCN786386 LMJ786362:LMJ786386 LWF786362:LWF786386 MGB786362:MGB786386 MPX786362:MPX786386 MZT786362:MZT786386 NJP786362:NJP786386 NTL786362:NTL786386 ODH786362:ODH786386 OND786362:OND786386 OWZ786362:OWZ786386 PGV786362:PGV786386 PQR786362:PQR786386 QAN786362:QAN786386 QKJ786362:QKJ786386 QUF786362:QUF786386 REB786362:REB786386 RNX786362:RNX786386 RXT786362:RXT786386 SHP786362:SHP786386 SRL786362:SRL786386 TBH786362:TBH786386 TLD786362:TLD786386 TUZ786362:TUZ786386 UEV786362:UEV786386 UOR786362:UOR786386 UYN786362:UYN786386 VIJ786362:VIJ786386 VSF786362:VSF786386 WCB786362:WCB786386 WLX786362:WLX786386 WVT786362:WVT786386 L851956:L851980 JH851898:JH851922 TD851898:TD851922 ACZ851898:ACZ851922 AMV851898:AMV851922 AWR851898:AWR851922 BGN851898:BGN851922 BQJ851898:BQJ851922 CAF851898:CAF851922 CKB851898:CKB851922 CTX851898:CTX851922 DDT851898:DDT851922 DNP851898:DNP851922 DXL851898:DXL851922 EHH851898:EHH851922 ERD851898:ERD851922 FAZ851898:FAZ851922 FKV851898:FKV851922 FUR851898:FUR851922 GEN851898:GEN851922 GOJ851898:GOJ851922 GYF851898:GYF851922 HIB851898:HIB851922 HRX851898:HRX851922 IBT851898:IBT851922 ILP851898:ILP851922 IVL851898:IVL851922 JFH851898:JFH851922 JPD851898:JPD851922 JYZ851898:JYZ851922 KIV851898:KIV851922 KSR851898:KSR851922 LCN851898:LCN851922 LMJ851898:LMJ851922 LWF851898:LWF851922 MGB851898:MGB851922 MPX851898:MPX851922 MZT851898:MZT851922 NJP851898:NJP851922 NTL851898:NTL851922 ODH851898:ODH851922 OND851898:OND851922 OWZ851898:OWZ851922 PGV851898:PGV851922 PQR851898:PQR851922 QAN851898:QAN851922 QKJ851898:QKJ851922 QUF851898:QUF851922 REB851898:REB851922 RNX851898:RNX851922 RXT851898:RXT851922 SHP851898:SHP851922 SRL851898:SRL851922 TBH851898:TBH851922 TLD851898:TLD851922 TUZ851898:TUZ851922 UEV851898:UEV851922 UOR851898:UOR851922 UYN851898:UYN851922 VIJ851898:VIJ851922 VSF851898:VSF851922 WCB851898:WCB851922 WLX851898:WLX851922 WVT851898:WVT851922 L917492:L917516 JH917434:JH917458 TD917434:TD917458 ACZ917434:ACZ917458 AMV917434:AMV917458 AWR917434:AWR917458 BGN917434:BGN917458 BQJ917434:BQJ917458 CAF917434:CAF917458 CKB917434:CKB917458 CTX917434:CTX917458 DDT917434:DDT917458 DNP917434:DNP917458 DXL917434:DXL917458 EHH917434:EHH917458 ERD917434:ERD917458 FAZ917434:FAZ917458 FKV917434:FKV917458 FUR917434:FUR917458 GEN917434:GEN917458 GOJ917434:GOJ917458 GYF917434:GYF917458 HIB917434:HIB917458 HRX917434:HRX917458 IBT917434:IBT917458 ILP917434:ILP917458 IVL917434:IVL917458 JFH917434:JFH917458 JPD917434:JPD917458 JYZ917434:JYZ917458 KIV917434:KIV917458 KSR917434:KSR917458 LCN917434:LCN917458 LMJ917434:LMJ917458 LWF917434:LWF917458 MGB917434:MGB917458 MPX917434:MPX917458 MZT917434:MZT917458 NJP917434:NJP917458 NTL917434:NTL917458 ODH917434:ODH917458 OND917434:OND917458 OWZ917434:OWZ917458 PGV917434:PGV917458 PQR917434:PQR917458 QAN917434:QAN917458 QKJ917434:QKJ917458 QUF917434:QUF917458 REB917434:REB917458 RNX917434:RNX917458 RXT917434:RXT917458 SHP917434:SHP917458 SRL917434:SRL917458 TBH917434:TBH917458 TLD917434:TLD917458 TUZ917434:TUZ917458 UEV917434:UEV917458 UOR917434:UOR917458 UYN917434:UYN917458 VIJ917434:VIJ917458 VSF917434:VSF917458 WCB917434:WCB917458 WLX917434:WLX917458 WVT917434:WVT917458 L983028:L983052 JH982970:JH982994 TD982970:TD982994 ACZ982970:ACZ982994 AMV982970:AMV982994 AWR982970:AWR982994 BGN982970:BGN982994 BQJ982970:BQJ982994 CAF982970:CAF982994 CKB982970:CKB982994 CTX982970:CTX982994 DDT982970:DDT982994 DNP982970:DNP982994 DXL982970:DXL982994 EHH982970:EHH982994 ERD982970:ERD982994 FAZ982970:FAZ982994 FKV982970:FKV982994 FUR982970:FUR982994 GEN982970:GEN982994 GOJ982970:GOJ982994 GYF982970:GYF982994 HIB982970:HIB982994 HRX982970:HRX982994 IBT982970:IBT982994 ILP982970:ILP982994 IVL982970:IVL982994 JFH982970:JFH982994 JPD982970:JPD982994 JYZ982970:JYZ982994 KIV982970:KIV982994 KSR982970:KSR982994 LCN982970:LCN982994 LMJ982970:LMJ982994 LWF982970:LWF982994 MGB982970:MGB982994 MPX982970:MPX982994 MZT982970:MZT982994 NJP982970:NJP982994 NTL982970:NTL982994 ODH982970:ODH982994 OND982970:OND982994 OWZ982970:OWZ982994 PGV982970:PGV982994 PQR982970:PQR982994 QAN982970:QAN982994 QKJ982970:QKJ982994 QUF982970:QUF982994 REB982970:REB982994 RNX982970:RNX982994 RXT982970:RXT982994 SHP982970:SHP982994 SRL982970:SRL982994 TBH982970:TBH982994 TLD982970:TLD982994 TUZ982970:TUZ982994 UEV982970:UEV982994 UOR982970:UOR982994 UYN982970:UYN982994 VIJ982970:VIJ982994 VSF982970:VSF982994 WCB982970:WCB982994 WLX982970:WLX982994 WVT982970:WVT982994 L65524:L65548 WVS13:WVS513 WLW13:WLW513 WCA13:WCA513 VSE13:VSE513 VII13:VII513 UYM13:UYM513 UOQ13:UOQ513 UEU13:UEU513 TUY13:TUY513 TLC13:TLC513 TBG13:TBG513 SRK13:SRK513 SHO13:SHO513 RXS13:RXS513 RNW13:RNW513 REA13:REA513 QUE13:QUE513 QKI13:QKI513 QAM13:QAM513 PQQ13:PQQ513 PGU13:PGU513 OWY13:OWY513 ONC13:ONC513 ODG13:ODG513 NTK13:NTK513 NJO13:NJO513 MZS13:MZS513 MPW13:MPW513 MGA13:MGA513 LWE13:LWE513 LMI13:LMI513 LCM13:LCM513 KSQ13:KSQ513 KIU13:KIU513 JYY13:JYY513 JPC13:JPC513 JFG13:JFG513 IVK13:IVK513 ILO13:ILO513 IBS13:IBS513 HRW13:HRW513 HIA13:HIA513 GYE13:GYE513 GOI13:GOI513 GEM13:GEM513 FUQ13:FUQ513 FKU13:FKU513 FAY13:FAY513 ERC13:ERC513 EHG13:EHG513 DXK13:DXK513 DNO13:DNO513 DDS13:DDS513 CTW13:CTW513 CKA13:CKA513 CAE13:CAE513 BQI13:BQI513 BGM13:BGM513 AWQ13:AWQ513 AMU13:AMU513 ACY13:ACY513 TC13:TC513 JG13:JG513" xr:uid="{00000000-0002-0000-0E00-000001000000}"/>
    <dataValidation allowBlank="1" showInputMessage="1" showErrorMessage="1" prompt="Enter the authorized R&amp;B monthly amount. For CBA refer to F2065B, for CCAD refer to F2065A, for CWP refer to F2200, for ICM refer to F2065_x000a_" sqref="JI65466:JJ65490 TE65466:TF65490 ADA65466:ADB65490 AMW65466:AMX65490 AWS65466:AWT65490 BGO65466:BGP65490 BQK65466:BQL65490 CAG65466:CAH65490 CKC65466:CKD65490 CTY65466:CTZ65490 DDU65466:DDV65490 DNQ65466:DNR65490 DXM65466:DXN65490 EHI65466:EHJ65490 ERE65466:ERF65490 FBA65466:FBB65490 FKW65466:FKX65490 FUS65466:FUT65490 GEO65466:GEP65490 GOK65466:GOL65490 GYG65466:GYH65490 HIC65466:HID65490 HRY65466:HRZ65490 IBU65466:IBV65490 ILQ65466:ILR65490 IVM65466:IVN65490 JFI65466:JFJ65490 JPE65466:JPF65490 JZA65466:JZB65490 KIW65466:KIX65490 KSS65466:KST65490 LCO65466:LCP65490 LMK65466:LML65490 LWG65466:LWH65490 MGC65466:MGD65490 MPY65466:MPZ65490 MZU65466:MZV65490 NJQ65466:NJR65490 NTM65466:NTN65490 ODI65466:ODJ65490 ONE65466:ONF65490 OXA65466:OXB65490 PGW65466:PGX65490 PQS65466:PQT65490 QAO65466:QAP65490 QKK65466:QKL65490 QUG65466:QUH65490 REC65466:RED65490 RNY65466:RNZ65490 RXU65466:RXV65490 SHQ65466:SHR65490 SRM65466:SRN65490 TBI65466:TBJ65490 TLE65466:TLF65490 TVA65466:TVB65490 UEW65466:UEX65490 UOS65466:UOT65490 UYO65466:UYP65490 VIK65466:VIL65490 VSG65466:VSH65490 WCC65466:WCD65490 WLY65466:WLZ65490 WVU65466:WVV65490 M131060:N131084 JI131002:JJ131026 TE131002:TF131026 ADA131002:ADB131026 AMW131002:AMX131026 AWS131002:AWT131026 BGO131002:BGP131026 BQK131002:BQL131026 CAG131002:CAH131026 CKC131002:CKD131026 CTY131002:CTZ131026 DDU131002:DDV131026 DNQ131002:DNR131026 DXM131002:DXN131026 EHI131002:EHJ131026 ERE131002:ERF131026 FBA131002:FBB131026 FKW131002:FKX131026 FUS131002:FUT131026 GEO131002:GEP131026 GOK131002:GOL131026 GYG131002:GYH131026 HIC131002:HID131026 HRY131002:HRZ131026 IBU131002:IBV131026 ILQ131002:ILR131026 IVM131002:IVN131026 JFI131002:JFJ131026 JPE131002:JPF131026 JZA131002:JZB131026 KIW131002:KIX131026 KSS131002:KST131026 LCO131002:LCP131026 LMK131002:LML131026 LWG131002:LWH131026 MGC131002:MGD131026 MPY131002:MPZ131026 MZU131002:MZV131026 NJQ131002:NJR131026 NTM131002:NTN131026 ODI131002:ODJ131026 ONE131002:ONF131026 OXA131002:OXB131026 PGW131002:PGX131026 PQS131002:PQT131026 QAO131002:QAP131026 QKK131002:QKL131026 QUG131002:QUH131026 REC131002:RED131026 RNY131002:RNZ131026 RXU131002:RXV131026 SHQ131002:SHR131026 SRM131002:SRN131026 TBI131002:TBJ131026 TLE131002:TLF131026 TVA131002:TVB131026 UEW131002:UEX131026 UOS131002:UOT131026 UYO131002:UYP131026 VIK131002:VIL131026 VSG131002:VSH131026 WCC131002:WCD131026 WLY131002:WLZ131026 WVU131002:WVV131026 M196596:N196620 JI196538:JJ196562 TE196538:TF196562 ADA196538:ADB196562 AMW196538:AMX196562 AWS196538:AWT196562 BGO196538:BGP196562 BQK196538:BQL196562 CAG196538:CAH196562 CKC196538:CKD196562 CTY196538:CTZ196562 DDU196538:DDV196562 DNQ196538:DNR196562 DXM196538:DXN196562 EHI196538:EHJ196562 ERE196538:ERF196562 FBA196538:FBB196562 FKW196538:FKX196562 FUS196538:FUT196562 GEO196538:GEP196562 GOK196538:GOL196562 GYG196538:GYH196562 HIC196538:HID196562 HRY196538:HRZ196562 IBU196538:IBV196562 ILQ196538:ILR196562 IVM196538:IVN196562 JFI196538:JFJ196562 JPE196538:JPF196562 JZA196538:JZB196562 KIW196538:KIX196562 KSS196538:KST196562 LCO196538:LCP196562 LMK196538:LML196562 LWG196538:LWH196562 MGC196538:MGD196562 MPY196538:MPZ196562 MZU196538:MZV196562 NJQ196538:NJR196562 NTM196538:NTN196562 ODI196538:ODJ196562 ONE196538:ONF196562 OXA196538:OXB196562 PGW196538:PGX196562 PQS196538:PQT196562 QAO196538:QAP196562 QKK196538:QKL196562 QUG196538:QUH196562 REC196538:RED196562 RNY196538:RNZ196562 RXU196538:RXV196562 SHQ196538:SHR196562 SRM196538:SRN196562 TBI196538:TBJ196562 TLE196538:TLF196562 TVA196538:TVB196562 UEW196538:UEX196562 UOS196538:UOT196562 UYO196538:UYP196562 VIK196538:VIL196562 VSG196538:VSH196562 WCC196538:WCD196562 WLY196538:WLZ196562 WVU196538:WVV196562 M262132:N262156 JI262074:JJ262098 TE262074:TF262098 ADA262074:ADB262098 AMW262074:AMX262098 AWS262074:AWT262098 BGO262074:BGP262098 BQK262074:BQL262098 CAG262074:CAH262098 CKC262074:CKD262098 CTY262074:CTZ262098 DDU262074:DDV262098 DNQ262074:DNR262098 DXM262074:DXN262098 EHI262074:EHJ262098 ERE262074:ERF262098 FBA262074:FBB262098 FKW262074:FKX262098 FUS262074:FUT262098 GEO262074:GEP262098 GOK262074:GOL262098 GYG262074:GYH262098 HIC262074:HID262098 HRY262074:HRZ262098 IBU262074:IBV262098 ILQ262074:ILR262098 IVM262074:IVN262098 JFI262074:JFJ262098 JPE262074:JPF262098 JZA262074:JZB262098 KIW262074:KIX262098 KSS262074:KST262098 LCO262074:LCP262098 LMK262074:LML262098 LWG262074:LWH262098 MGC262074:MGD262098 MPY262074:MPZ262098 MZU262074:MZV262098 NJQ262074:NJR262098 NTM262074:NTN262098 ODI262074:ODJ262098 ONE262074:ONF262098 OXA262074:OXB262098 PGW262074:PGX262098 PQS262074:PQT262098 QAO262074:QAP262098 QKK262074:QKL262098 QUG262074:QUH262098 REC262074:RED262098 RNY262074:RNZ262098 RXU262074:RXV262098 SHQ262074:SHR262098 SRM262074:SRN262098 TBI262074:TBJ262098 TLE262074:TLF262098 TVA262074:TVB262098 UEW262074:UEX262098 UOS262074:UOT262098 UYO262074:UYP262098 VIK262074:VIL262098 VSG262074:VSH262098 WCC262074:WCD262098 WLY262074:WLZ262098 WVU262074:WVV262098 M327668:N327692 JI327610:JJ327634 TE327610:TF327634 ADA327610:ADB327634 AMW327610:AMX327634 AWS327610:AWT327634 BGO327610:BGP327634 BQK327610:BQL327634 CAG327610:CAH327634 CKC327610:CKD327634 CTY327610:CTZ327634 DDU327610:DDV327634 DNQ327610:DNR327634 DXM327610:DXN327634 EHI327610:EHJ327634 ERE327610:ERF327634 FBA327610:FBB327634 FKW327610:FKX327634 FUS327610:FUT327634 GEO327610:GEP327634 GOK327610:GOL327634 GYG327610:GYH327634 HIC327610:HID327634 HRY327610:HRZ327634 IBU327610:IBV327634 ILQ327610:ILR327634 IVM327610:IVN327634 JFI327610:JFJ327634 JPE327610:JPF327634 JZA327610:JZB327634 KIW327610:KIX327634 KSS327610:KST327634 LCO327610:LCP327634 LMK327610:LML327634 LWG327610:LWH327634 MGC327610:MGD327634 MPY327610:MPZ327634 MZU327610:MZV327634 NJQ327610:NJR327634 NTM327610:NTN327634 ODI327610:ODJ327634 ONE327610:ONF327634 OXA327610:OXB327634 PGW327610:PGX327634 PQS327610:PQT327634 QAO327610:QAP327634 QKK327610:QKL327634 QUG327610:QUH327634 REC327610:RED327634 RNY327610:RNZ327634 RXU327610:RXV327634 SHQ327610:SHR327634 SRM327610:SRN327634 TBI327610:TBJ327634 TLE327610:TLF327634 TVA327610:TVB327634 UEW327610:UEX327634 UOS327610:UOT327634 UYO327610:UYP327634 VIK327610:VIL327634 VSG327610:VSH327634 WCC327610:WCD327634 WLY327610:WLZ327634 WVU327610:WVV327634 M393204:N393228 JI393146:JJ393170 TE393146:TF393170 ADA393146:ADB393170 AMW393146:AMX393170 AWS393146:AWT393170 BGO393146:BGP393170 BQK393146:BQL393170 CAG393146:CAH393170 CKC393146:CKD393170 CTY393146:CTZ393170 DDU393146:DDV393170 DNQ393146:DNR393170 DXM393146:DXN393170 EHI393146:EHJ393170 ERE393146:ERF393170 FBA393146:FBB393170 FKW393146:FKX393170 FUS393146:FUT393170 GEO393146:GEP393170 GOK393146:GOL393170 GYG393146:GYH393170 HIC393146:HID393170 HRY393146:HRZ393170 IBU393146:IBV393170 ILQ393146:ILR393170 IVM393146:IVN393170 JFI393146:JFJ393170 JPE393146:JPF393170 JZA393146:JZB393170 KIW393146:KIX393170 KSS393146:KST393170 LCO393146:LCP393170 LMK393146:LML393170 LWG393146:LWH393170 MGC393146:MGD393170 MPY393146:MPZ393170 MZU393146:MZV393170 NJQ393146:NJR393170 NTM393146:NTN393170 ODI393146:ODJ393170 ONE393146:ONF393170 OXA393146:OXB393170 PGW393146:PGX393170 PQS393146:PQT393170 QAO393146:QAP393170 QKK393146:QKL393170 QUG393146:QUH393170 REC393146:RED393170 RNY393146:RNZ393170 RXU393146:RXV393170 SHQ393146:SHR393170 SRM393146:SRN393170 TBI393146:TBJ393170 TLE393146:TLF393170 TVA393146:TVB393170 UEW393146:UEX393170 UOS393146:UOT393170 UYO393146:UYP393170 VIK393146:VIL393170 VSG393146:VSH393170 WCC393146:WCD393170 WLY393146:WLZ393170 WVU393146:WVV393170 M458740:N458764 JI458682:JJ458706 TE458682:TF458706 ADA458682:ADB458706 AMW458682:AMX458706 AWS458682:AWT458706 BGO458682:BGP458706 BQK458682:BQL458706 CAG458682:CAH458706 CKC458682:CKD458706 CTY458682:CTZ458706 DDU458682:DDV458706 DNQ458682:DNR458706 DXM458682:DXN458706 EHI458682:EHJ458706 ERE458682:ERF458706 FBA458682:FBB458706 FKW458682:FKX458706 FUS458682:FUT458706 GEO458682:GEP458706 GOK458682:GOL458706 GYG458682:GYH458706 HIC458682:HID458706 HRY458682:HRZ458706 IBU458682:IBV458706 ILQ458682:ILR458706 IVM458682:IVN458706 JFI458682:JFJ458706 JPE458682:JPF458706 JZA458682:JZB458706 KIW458682:KIX458706 KSS458682:KST458706 LCO458682:LCP458706 LMK458682:LML458706 LWG458682:LWH458706 MGC458682:MGD458706 MPY458682:MPZ458706 MZU458682:MZV458706 NJQ458682:NJR458706 NTM458682:NTN458706 ODI458682:ODJ458706 ONE458682:ONF458706 OXA458682:OXB458706 PGW458682:PGX458706 PQS458682:PQT458706 QAO458682:QAP458706 QKK458682:QKL458706 QUG458682:QUH458706 REC458682:RED458706 RNY458682:RNZ458706 RXU458682:RXV458706 SHQ458682:SHR458706 SRM458682:SRN458706 TBI458682:TBJ458706 TLE458682:TLF458706 TVA458682:TVB458706 UEW458682:UEX458706 UOS458682:UOT458706 UYO458682:UYP458706 VIK458682:VIL458706 VSG458682:VSH458706 WCC458682:WCD458706 WLY458682:WLZ458706 WVU458682:WVV458706 M524276:N524300 JI524218:JJ524242 TE524218:TF524242 ADA524218:ADB524242 AMW524218:AMX524242 AWS524218:AWT524242 BGO524218:BGP524242 BQK524218:BQL524242 CAG524218:CAH524242 CKC524218:CKD524242 CTY524218:CTZ524242 DDU524218:DDV524242 DNQ524218:DNR524242 DXM524218:DXN524242 EHI524218:EHJ524242 ERE524218:ERF524242 FBA524218:FBB524242 FKW524218:FKX524242 FUS524218:FUT524242 GEO524218:GEP524242 GOK524218:GOL524242 GYG524218:GYH524242 HIC524218:HID524242 HRY524218:HRZ524242 IBU524218:IBV524242 ILQ524218:ILR524242 IVM524218:IVN524242 JFI524218:JFJ524242 JPE524218:JPF524242 JZA524218:JZB524242 KIW524218:KIX524242 KSS524218:KST524242 LCO524218:LCP524242 LMK524218:LML524242 LWG524218:LWH524242 MGC524218:MGD524242 MPY524218:MPZ524242 MZU524218:MZV524242 NJQ524218:NJR524242 NTM524218:NTN524242 ODI524218:ODJ524242 ONE524218:ONF524242 OXA524218:OXB524242 PGW524218:PGX524242 PQS524218:PQT524242 QAO524218:QAP524242 QKK524218:QKL524242 QUG524218:QUH524242 REC524218:RED524242 RNY524218:RNZ524242 RXU524218:RXV524242 SHQ524218:SHR524242 SRM524218:SRN524242 TBI524218:TBJ524242 TLE524218:TLF524242 TVA524218:TVB524242 UEW524218:UEX524242 UOS524218:UOT524242 UYO524218:UYP524242 VIK524218:VIL524242 VSG524218:VSH524242 WCC524218:WCD524242 WLY524218:WLZ524242 WVU524218:WVV524242 M589812:N589836 JI589754:JJ589778 TE589754:TF589778 ADA589754:ADB589778 AMW589754:AMX589778 AWS589754:AWT589778 BGO589754:BGP589778 BQK589754:BQL589778 CAG589754:CAH589778 CKC589754:CKD589778 CTY589754:CTZ589778 DDU589754:DDV589778 DNQ589754:DNR589778 DXM589754:DXN589778 EHI589754:EHJ589778 ERE589754:ERF589778 FBA589754:FBB589778 FKW589754:FKX589778 FUS589754:FUT589778 GEO589754:GEP589778 GOK589754:GOL589778 GYG589754:GYH589778 HIC589754:HID589778 HRY589754:HRZ589778 IBU589754:IBV589778 ILQ589754:ILR589778 IVM589754:IVN589778 JFI589754:JFJ589778 JPE589754:JPF589778 JZA589754:JZB589778 KIW589754:KIX589778 KSS589754:KST589778 LCO589754:LCP589778 LMK589754:LML589778 LWG589754:LWH589778 MGC589754:MGD589778 MPY589754:MPZ589778 MZU589754:MZV589778 NJQ589754:NJR589778 NTM589754:NTN589778 ODI589754:ODJ589778 ONE589754:ONF589778 OXA589754:OXB589778 PGW589754:PGX589778 PQS589754:PQT589778 QAO589754:QAP589778 QKK589754:QKL589778 QUG589754:QUH589778 REC589754:RED589778 RNY589754:RNZ589778 RXU589754:RXV589778 SHQ589754:SHR589778 SRM589754:SRN589778 TBI589754:TBJ589778 TLE589754:TLF589778 TVA589754:TVB589778 UEW589754:UEX589778 UOS589754:UOT589778 UYO589754:UYP589778 VIK589754:VIL589778 VSG589754:VSH589778 WCC589754:WCD589778 WLY589754:WLZ589778 WVU589754:WVV589778 M655348:N655372 JI655290:JJ655314 TE655290:TF655314 ADA655290:ADB655314 AMW655290:AMX655314 AWS655290:AWT655314 BGO655290:BGP655314 BQK655290:BQL655314 CAG655290:CAH655314 CKC655290:CKD655314 CTY655290:CTZ655314 DDU655290:DDV655314 DNQ655290:DNR655314 DXM655290:DXN655314 EHI655290:EHJ655314 ERE655290:ERF655314 FBA655290:FBB655314 FKW655290:FKX655314 FUS655290:FUT655314 GEO655290:GEP655314 GOK655290:GOL655314 GYG655290:GYH655314 HIC655290:HID655314 HRY655290:HRZ655314 IBU655290:IBV655314 ILQ655290:ILR655314 IVM655290:IVN655314 JFI655290:JFJ655314 JPE655290:JPF655314 JZA655290:JZB655314 KIW655290:KIX655314 KSS655290:KST655314 LCO655290:LCP655314 LMK655290:LML655314 LWG655290:LWH655314 MGC655290:MGD655314 MPY655290:MPZ655314 MZU655290:MZV655314 NJQ655290:NJR655314 NTM655290:NTN655314 ODI655290:ODJ655314 ONE655290:ONF655314 OXA655290:OXB655314 PGW655290:PGX655314 PQS655290:PQT655314 QAO655290:QAP655314 QKK655290:QKL655314 QUG655290:QUH655314 REC655290:RED655314 RNY655290:RNZ655314 RXU655290:RXV655314 SHQ655290:SHR655314 SRM655290:SRN655314 TBI655290:TBJ655314 TLE655290:TLF655314 TVA655290:TVB655314 UEW655290:UEX655314 UOS655290:UOT655314 UYO655290:UYP655314 VIK655290:VIL655314 VSG655290:VSH655314 WCC655290:WCD655314 WLY655290:WLZ655314 WVU655290:WVV655314 M720884:N720908 JI720826:JJ720850 TE720826:TF720850 ADA720826:ADB720850 AMW720826:AMX720850 AWS720826:AWT720850 BGO720826:BGP720850 BQK720826:BQL720850 CAG720826:CAH720850 CKC720826:CKD720850 CTY720826:CTZ720850 DDU720826:DDV720850 DNQ720826:DNR720850 DXM720826:DXN720850 EHI720826:EHJ720850 ERE720826:ERF720850 FBA720826:FBB720850 FKW720826:FKX720850 FUS720826:FUT720850 GEO720826:GEP720850 GOK720826:GOL720850 GYG720826:GYH720850 HIC720826:HID720850 HRY720826:HRZ720850 IBU720826:IBV720850 ILQ720826:ILR720850 IVM720826:IVN720850 JFI720826:JFJ720850 JPE720826:JPF720850 JZA720826:JZB720850 KIW720826:KIX720850 KSS720826:KST720850 LCO720826:LCP720850 LMK720826:LML720850 LWG720826:LWH720850 MGC720826:MGD720850 MPY720826:MPZ720850 MZU720826:MZV720850 NJQ720826:NJR720850 NTM720826:NTN720850 ODI720826:ODJ720850 ONE720826:ONF720850 OXA720826:OXB720850 PGW720826:PGX720850 PQS720826:PQT720850 QAO720826:QAP720850 QKK720826:QKL720850 QUG720826:QUH720850 REC720826:RED720850 RNY720826:RNZ720850 RXU720826:RXV720850 SHQ720826:SHR720850 SRM720826:SRN720850 TBI720826:TBJ720850 TLE720826:TLF720850 TVA720826:TVB720850 UEW720826:UEX720850 UOS720826:UOT720850 UYO720826:UYP720850 VIK720826:VIL720850 VSG720826:VSH720850 WCC720826:WCD720850 WLY720826:WLZ720850 WVU720826:WVV720850 M786420:N786444 JI786362:JJ786386 TE786362:TF786386 ADA786362:ADB786386 AMW786362:AMX786386 AWS786362:AWT786386 BGO786362:BGP786386 BQK786362:BQL786386 CAG786362:CAH786386 CKC786362:CKD786386 CTY786362:CTZ786386 DDU786362:DDV786386 DNQ786362:DNR786386 DXM786362:DXN786386 EHI786362:EHJ786386 ERE786362:ERF786386 FBA786362:FBB786386 FKW786362:FKX786386 FUS786362:FUT786386 GEO786362:GEP786386 GOK786362:GOL786386 GYG786362:GYH786386 HIC786362:HID786386 HRY786362:HRZ786386 IBU786362:IBV786386 ILQ786362:ILR786386 IVM786362:IVN786386 JFI786362:JFJ786386 JPE786362:JPF786386 JZA786362:JZB786386 KIW786362:KIX786386 KSS786362:KST786386 LCO786362:LCP786386 LMK786362:LML786386 LWG786362:LWH786386 MGC786362:MGD786386 MPY786362:MPZ786386 MZU786362:MZV786386 NJQ786362:NJR786386 NTM786362:NTN786386 ODI786362:ODJ786386 ONE786362:ONF786386 OXA786362:OXB786386 PGW786362:PGX786386 PQS786362:PQT786386 QAO786362:QAP786386 QKK786362:QKL786386 QUG786362:QUH786386 REC786362:RED786386 RNY786362:RNZ786386 RXU786362:RXV786386 SHQ786362:SHR786386 SRM786362:SRN786386 TBI786362:TBJ786386 TLE786362:TLF786386 TVA786362:TVB786386 UEW786362:UEX786386 UOS786362:UOT786386 UYO786362:UYP786386 VIK786362:VIL786386 VSG786362:VSH786386 WCC786362:WCD786386 WLY786362:WLZ786386 WVU786362:WVV786386 M851956:N851980 JI851898:JJ851922 TE851898:TF851922 ADA851898:ADB851922 AMW851898:AMX851922 AWS851898:AWT851922 BGO851898:BGP851922 BQK851898:BQL851922 CAG851898:CAH851922 CKC851898:CKD851922 CTY851898:CTZ851922 DDU851898:DDV851922 DNQ851898:DNR851922 DXM851898:DXN851922 EHI851898:EHJ851922 ERE851898:ERF851922 FBA851898:FBB851922 FKW851898:FKX851922 FUS851898:FUT851922 GEO851898:GEP851922 GOK851898:GOL851922 GYG851898:GYH851922 HIC851898:HID851922 HRY851898:HRZ851922 IBU851898:IBV851922 ILQ851898:ILR851922 IVM851898:IVN851922 JFI851898:JFJ851922 JPE851898:JPF851922 JZA851898:JZB851922 KIW851898:KIX851922 KSS851898:KST851922 LCO851898:LCP851922 LMK851898:LML851922 LWG851898:LWH851922 MGC851898:MGD851922 MPY851898:MPZ851922 MZU851898:MZV851922 NJQ851898:NJR851922 NTM851898:NTN851922 ODI851898:ODJ851922 ONE851898:ONF851922 OXA851898:OXB851922 PGW851898:PGX851922 PQS851898:PQT851922 QAO851898:QAP851922 QKK851898:QKL851922 QUG851898:QUH851922 REC851898:RED851922 RNY851898:RNZ851922 RXU851898:RXV851922 SHQ851898:SHR851922 SRM851898:SRN851922 TBI851898:TBJ851922 TLE851898:TLF851922 TVA851898:TVB851922 UEW851898:UEX851922 UOS851898:UOT851922 UYO851898:UYP851922 VIK851898:VIL851922 VSG851898:VSH851922 WCC851898:WCD851922 WLY851898:WLZ851922 WVU851898:WVV851922 M917492:N917516 JI917434:JJ917458 TE917434:TF917458 ADA917434:ADB917458 AMW917434:AMX917458 AWS917434:AWT917458 BGO917434:BGP917458 BQK917434:BQL917458 CAG917434:CAH917458 CKC917434:CKD917458 CTY917434:CTZ917458 DDU917434:DDV917458 DNQ917434:DNR917458 DXM917434:DXN917458 EHI917434:EHJ917458 ERE917434:ERF917458 FBA917434:FBB917458 FKW917434:FKX917458 FUS917434:FUT917458 GEO917434:GEP917458 GOK917434:GOL917458 GYG917434:GYH917458 HIC917434:HID917458 HRY917434:HRZ917458 IBU917434:IBV917458 ILQ917434:ILR917458 IVM917434:IVN917458 JFI917434:JFJ917458 JPE917434:JPF917458 JZA917434:JZB917458 KIW917434:KIX917458 KSS917434:KST917458 LCO917434:LCP917458 LMK917434:LML917458 LWG917434:LWH917458 MGC917434:MGD917458 MPY917434:MPZ917458 MZU917434:MZV917458 NJQ917434:NJR917458 NTM917434:NTN917458 ODI917434:ODJ917458 ONE917434:ONF917458 OXA917434:OXB917458 PGW917434:PGX917458 PQS917434:PQT917458 QAO917434:QAP917458 QKK917434:QKL917458 QUG917434:QUH917458 REC917434:RED917458 RNY917434:RNZ917458 RXU917434:RXV917458 SHQ917434:SHR917458 SRM917434:SRN917458 TBI917434:TBJ917458 TLE917434:TLF917458 TVA917434:TVB917458 UEW917434:UEX917458 UOS917434:UOT917458 UYO917434:UYP917458 VIK917434:VIL917458 VSG917434:VSH917458 WCC917434:WCD917458 WLY917434:WLZ917458 WVU917434:WVV917458 M983028:N983052 JI982970:JJ982994 TE982970:TF982994 ADA982970:ADB982994 AMW982970:AMX982994 AWS982970:AWT982994 BGO982970:BGP982994 BQK982970:BQL982994 CAG982970:CAH982994 CKC982970:CKD982994 CTY982970:CTZ982994 DDU982970:DDV982994 DNQ982970:DNR982994 DXM982970:DXN982994 EHI982970:EHJ982994 ERE982970:ERF982994 FBA982970:FBB982994 FKW982970:FKX982994 FUS982970:FUT982994 GEO982970:GEP982994 GOK982970:GOL982994 GYG982970:GYH982994 HIC982970:HID982994 HRY982970:HRZ982994 IBU982970:IBV982994 ILQ982970:ILR982994 IVM982970:IVN982994 JFI982970:JFJ982994 JPE982970:JPF982994 JZA982970:JZB982994 KIW982970:KIX982994 KSS982970:KST982994 LCO982970:LCP982994 LMK982970:LML982994 LWG982970:LWH982994 MGC982970:MGD982994 MPY982970:MPZ982994 MZU982970:MZV982994 NJQ982970:NJR982994 NTM982970:NTN982994 ODI982970:ODJ982994 ONE982970:ONF982994 OXA982970:OXB982994 PGW982970:PGX982994 PQS982970:PQT982994 QAO982970:QAP982994 QKK982970:QKL982994 QUG982970:QUH982994 REC982970:RED982994 RNY982970:RNZ982994 RXU982970:RXV982994 SHQ982970:SHR982994 SRM982970:SRN982994 TBI982970:TBJ982994 TLE982970:TLF982994 TVA982970:TVB982994 UEW982970:UEX982994 UOS982970:UOT982994 UYO982970:UYP982994 VIK982970:VIL982994 VSG982970:VSH982994 WCC982970:WCD982994 WLY982970:WLZ982994 WVU982970:WVV982994 M65524:N65548 WVT13:WVU513 WLX13:WLY513 WCB13:WCC513 VSF13:VSG513 VIJ13:VIK513 UYN13:UYO513 UOR13:UOS513 UEV13:UEW513 TUZ13:TVA513 TLD13:TLE513 TBH13:TBI513 SRL13:SRM513 SHP13:SHQ513 RXT13:RXU513 RNX13:RNY513 REB13:REC513 QUF13:QUG513 QKJ13:QKK513 QAN13:QAO513 PQR13:PQS513 PGV13:PGW513 OWZ13:OXA513 OND13:ONE513 ODH13:ODI513 NTL13:NTM513 NJP13:NJQ513 MZT13:MZU513 MPX13:MPY513 MGB13:MGC513 LWF13:LWG513 LMJ13:LMK513 LCN13:LCO513 KSR13:KSS513 KIV13:KIW513 JYZ13:JZA513 JPD13:JPE513 JFH13:JFI513 IVL13:IVM513 ILP13:ILQ513 IBT13:IBU513 HRX13:HRY513 HIB13:HIC513 GYF13:GYG513 GOJ13:GOK513 GEN13:GEO513 FUR13:FUS513 FKV13:FKW513 FAZ13:FBA513 ERD13:ERE513 EHH13:EHI513 DXL13:DXM513 DNP13:DNQ513 DDT13:DDU513 CTX13:CTY513 CKB13:CKC513 CAF13:CAG513 BQJ13:BQK513 BGN13:BGO513 AWR13:AWS513 AMV13:AMW513 ACZ13:ADA513 TD13:TE513 JH13:JI513" xr:uid="{00000000-0002-0000-0E00-000002000000}"/>
    <dataValidation allowBlank="1" showInputMessage="1" showErrorMessage="1" prompt="Enter the co-pay amount the individual paid the contractor for the month in review" sqref="JK65466:JK65490 TG65466:TG65490 ADC65466:ADC65490 AMY65466:AMY65490 AWU65466:AWU65490 BGQ65466:BGQ65490 BQM65466:BQM65490 CAI65466:CAI65490 CKE65466:CKE65490 CUA65466:CUA65490 DDW65466:DDW65490 DNS65466:DNS65490 DXO65466:DXO65490 EHK65466:EHK65490 ERG65466:ERG65490 FBC65466:FBC65490 FKY65466:FKY65490 FUU65466:FUU65490 GEQ65466:GEQ65490 GOM65466:GOM65490 GYI65466:GYI65490 HIE65466:HIE65490 HSA65466:HSA65490 IBW65466:IBW65490 ILS65466:ILS65490 IVO65466:IVO65490 JFK65466:JFK65490 JPG65466:JPG65490 JZC65466:JZC65490 KIY65466:KIY65490 KSU65466:KSU65490 LCQ65466:LCQ65490 LMM65466:LMM65490 LWI65466:LWI65490 MGE65466:MGE65490 MQA65466:MQA65490 MZW65466:MZW65490 NJS65466:NJS65490 NTO65466:NTO65490 ODK65466:ODK65490 ONG65466:ONG65490 OXC65466:OXC65490 PGY65466:PGY65490 PQU65466:PQU65490 QAQ65466:QAQ65490 QKM65466:QKM65490 QUI65466:QUI65490 REE65466:REE65490 ROA65466:ROA65490 RXW65466:RXW65490 SHS65466:SHS65490 SRO65466:SRO65490 TBK65466:TBK65490 TLG65466:TLG65490 TVC65466:TVC65490 UEY65466:UEY65490 UOU65466:UOU65490 UYQ65466:UYQ65490 VIM65466:VIM65490 VSI65466:VSI65490 WCE65466:WCE65490 WMA65466:WMA65490 WVW65466:WVW65490 O131060:O131084 JK131002:JK131026 TG131002:TG131026 ADC131002:ADC131026 AMY131002:AMY131026 AWU131002:AWU131026 BGQ131002:BGQ131026 BQM131002:BQM131026 CAI131002:CAI131026 CKE131002:CKE131026 CUA131002:CUA131026 DDW131002:DDW131026 DNS131002:DNS131026 DXO131002:DXO131026 EHK131002:EHK131026 ERG131002:ERG131026 FBC131002:FBC131026 FKY131002:FKY131026 FUU131002:FUU131026 GEQ131002:GEQ131026 GOM131002:GOM131026 GYI131002:GYI131026 HIE131002:HIE131026 HSA131002:HSA131026 IBW131002:IBW131026 ILS131002:ILS131026 IVO131002:IVO131026 JFK131002:JFK131026 JPG131002:JPG131026 JZC131002:JZC131026 KIY131002:KIY131026 KSU131002:KSU131026 LCQ131002:LCQ131026 LMM131002:LMM131026 LWI131002:LWI131026 MGE131002:MGE131026 MQA131002:MQA131026 MZW131002:MZW131026 NJS131002:NJS131026 NTO131002:NTO131026 ODK131002:ODK131026 ONG131002:ONG131026 OXC131002:OXC131026 PGY131002:PGY131026 PQU131002:PQU131026 QAQ131002:QAQ131026 QKM131002:QKM131026 QUI131002:QUI131026 REE131002:REE131026 ROA131002:ROA131026 RXW131002:RXW131026 SHS131002:SHS131026 SRO131002:SRO131026 TBK131002:TBK131026 TLG131002:TLG131026 TVC131002:TVC131026 UEY131002:UEY131026 UOU131002:UOU131026 UYQ131002:UYQ131026 VIM131002:VIM131026 VSI131002:VSI131026 WCE131002:WCE131026 WMA131002:WMA131026 WVW131002:WVW131026 O196596:O196620 JK196538:JK196562 TG196538:TG196562 ADC196538:ADC196562 AMY196538:AMY196562 AWU196538:AWU196562 BGQ196538:BGQ196562 BQM196538:BQM196562 CAI196538:CAI196562 CKE196538:CKE196562 CUA196538:CUA196562 DDW196538:DDW196562 DNS196538:DNS196562 DXO196538:DXO196562 EHK196538:EHK196562 ERG196538:ERG196562 FBC196538:FBC196562 FKY196538:FKY196562 FUU196538:FUU196562 GEQ196538:GEQ196562 GOM196538:GOM196562 GYI196538:GYI196562 HIE196538:HIE196562 HSA196538:HSA196562 IBW196538:IBW196562 ILS196538:ILS196562 IVO196538:IVO196562 JFK196538:JFK196562 JPG196538:JPG196562 JZC196538:JZC196562 KIY196538:KIY196562 KSU196538:KSU196562 LCQ196538:LCQ196562 LMM196538:LMM196562 LWI196538:LWI196562 MGE196538:MGE196562 MQA196538:MQA196562 MZW196538:MZW196562 NJS196538:NJS196562 NTO196538:NTO196562 ODK196538:ODK196562 ONG196538:ONG196562 OXC196538:OXC196562 PGY196538:PGY196562 PQU196538:PQU196562 QAQ196538:QAQ196562 QKM196538:QKM196562 QUI196538:QUI196562 REE196538:REE196562 ROA196538:ROA196562 RXW196538:RXW196562 SHS196538:SHS196562 SRO196538:SRO196562 TBK196538:TBK196562 TLG196538:TLG196562 TVC196538:TVC196562 UEY196538:UEY196562 UOU196538:UOU196562 UYQ196538:UYQ196562 VIM196538:VIM196562 VSI196538:VSI196562 WCE196538:WCE196562 WMA196538:WMA196562 WVW196538:WVW196562 O262132:O262156 JK262074:JK262098 TG262074:TG262098 ADC262074:ADC262098 AMY262074:AMY262098 AWU262074:AWU262098 BGQ262074:BGQ262098 BQM262074:BQM262098 CAI262074:CAI262098 CKE262074:CKE262098 CUA262074:CUA262098 DDW262074:DDW262098 DNS262074:DNS262098 DXO262074:DXO262098 EHK262074:EHK262098 ERG262074:ERG262098 FBC262074:FBC262098 FKY262074:FKY262098 FUU262074:FUU262098 GEQ262074:GEQ262098 GOM262074:GOM262098 GYI262074:GYI262098 HIE262074:HIE262098 HSA262074:HSA262098 IBW262074:IBW262098 ILS262074:ILS262098 IVO262074:IVO262098 JFK262074:JFK262098 JPG262074:JPG262098 JZC262074:JZC262098 KIY262074:KIY262098 KSU262074:KSU262098 LCQ262074:LCQ262098 LMM262074:LMM262098 LWI262074:LWI262098 MGE262074:MGE262098 MQA262074:MQA262098 MZW262074:MZW262098 NJS262074:NJS262098 NTO262074:NTO262098 ODK262074:ODK262098 ONG262074:ONG262098 OXC262074:OXC262098 PGY262074:PGY262098 PQU262074:PQU262098 QAQ262074:QAQ262098 QKM262074:QKM262098 QUI262074:QUI262098 REE262074:REE262098 ROA262074:ROA262098 RXW262074:RXW262098 SHS262074:SHS262098 SRO262074:SRO262098 TBK262074:TBK262098 TLG262074:TLG262098 TVC262074:TVC262098 UEY262074:UEY262098 UOU262074:UOU262098 UYQ262074:UYQ262098 VIM262074:VIM262098 VSI262074:VSI262098 WCE262074:WCE262098 WMA262074:WMA262098 WVW262074:WVW262098 O327668:O327692 JK327610:JK327634 TG327610:TG327634 ADC327610:ADC327634 AMY327610:AMY327634 AWU327610:AWU327634 BGQ327610:BGQ327634 BQM327610:BQM327634 CAI327610:CAI327634 CKE327610:CKE327634 CUA327610:CUA327634 DDW327610:DDW327634 DNS327610:DNS327634 DXO327610:DXO327634 EHK327610:EHK327634 ERG327610:ERG327634 FBC327610:FBC327634 FKY327610:FKY327634 FUU327610:FUU327634 GEQ327610:GEQ327634 GOM327610:GOM327634 GYI327610:GYI327634 HIE327610:HIE327634 HSA327610:HSA327634 IBW327610:IBW327634 ILS327610:ILS327634 IVO327610:IVO327634 JFK327610:JFK327634 JPG327610:JPG327634 JZC327610:JZC327634 KIY327610:KIY327634 KSU327610:KSU327634 LCQ327610:LCQ327634 LMM327610:LMM327634 LWI327610:LWI327634 MGE327610:MGE327634 MQA327610:MQA327634 MZW327610:MZW327634 NJS327610:NJS327634 NTO327610:NTO327634 ODK327610:ODK327634 ONG327610:ONG327634 OXC327610:OXC327634 PGY327610:PGY327634 PQU327610:PQU327634 QAQ327610:QAQ327634 QKM327610:QKM327634 QUI327610:QUI327634 REE327610:REE327634 ROA327610:ROA327634 RXW327610:RXW327634 SHS327610:SHS327634 SRO327610:SRO327634 TBK327610:TBK327634 TLG327610:TLG327634 TVC327610:TVC327634 UEY327610:UEY327634 UOU327610:UOU327634 UYQ327610:UYQ327634 VIM327610:VIM327634 VSI327610:VSI327634 WCE327610:WCE327634 WMA327610:WMA327634 WVW327610:WVW327634 O393204:O393228 JK393146:JK393170 TG393146:TG393170 ADC393146:ADC393170 AMY393146:AMY393170 AWU393146:AWU393170 BGQ393146:BGQ393170 BQM393146:BQM393170 CAI393146:CAI393170 CKE393146:CKE393170 CUA393146:CUA393170 DDW393146:DDW393170 DNS393146:DNS393170 DXO393146:DXO393170 EHK393146:EHK393170 ERG393146:ERG393170 FBC393146:FBC393170 FKY393146:FKY393170 FUU393146:FUU393170 GEQ393146:GEQ393170 GOM393146:GOM393170 GYI393146:GYI393170 HIE393146:HIE393170 HSA393146:HSA393170 IBW393146:IBW393170 ILS393146:ILS393170 IVO393146:IVO393170 JFK393146:JFK393170 JPG393146:JPG393170 JZC393146:JZC393170 KIY393146:KIY393170 KSU393146:KSU393170 LCQ393146:LCQ393170 LMM393146:LMM393170 LWI393146:LWI393170 MGE393146:MGE393170 MQA393146:MQA393170 MZW393146:MZW393170 NJS393146:NJS393170 NTO393146:NTO393170 ODK393146:ODK393170 ONG393146:ONG393170 OXC393146:OXC393170 PGY393146:PGY393170 PQU393146:PQU393170 QAQ393146:QAQ393170 QKM393146:QKM393170 QUI393146:QUI393170 REE393146:REE393170 ROA393146:ROA393170 RXW393146:RXW393170 SHS393146:SHS393170 SRO393146:SRO393170 TBK393146:TBK393170 TLG393146:TLG393170 TVC393146:TVC393170 UEY393146:UEY393170 UOU393146:UOU393170 UYQ393146:UYQ393170 VIM393146:VIM393170 VSI393146:VSI393170 WCE393146:WCE393170 WMA393146:WMA393170 WVW393146:WVW393170 O458740:O458764 JK458682:JK458706 TG458682:TG458706 ADC458682:ADC458706 AMY458682:AMY458706 AWU458682:AWU458706 BGQ458682:BGQ458706 BQM458682:BQM458706 CAI458682:CAI458706 CKE458682:CKE458706 CUA458682:CUA458706 DDW458682:DDW458706 DNS458682:DNS458706 DXO458682:DXO458706 EHK458682:EHK458706 ERG458682:ERG458706 FBC458682:FBC458706 FKY458682:FKY458706 FUU458682:FUU458706 GEQ458682:GEQ458706 GOM458682:GOM458706 GYI458682:GYI458706 HIE458682:HIE458706 HSA458682:HSA458706 IBW458682:IBW458706 ILS458682:ILS458706 IVO458682:IVO458706 JFK458682:JFK458706 JPG458682:JPG458706 JZC458682:JZC458706 KIY458682:KIY458706 KSU458682:KSU458706 LCQ458682:LCQ458706 LMM458682:LMM458706 LWI458682:LWI458706 MGE458682:MGE458706 MQA458682:MQA458706 MZW458682:MZW458706 NJS458682:NJS458706 NTO458682:NTO458706 ODK458682:ODK458706 ONG458682:ONG458706 OXC458682:OXC458706 PGY458682:PGY458706 PQU458682:PQU458706 QAQ458682:QAQ458706 QKM458682:QKM458706 QUI458682:QUI458706 REE458682:REE458706 ROA458682:ROA458706 RXW458682:RXW458706 SHS458682:SHS458706 SRO458682:SRO458706 TBK458682:TBK458706 TLG458682:TLG458706 TVC458682:TVC458706 UEY458682:UEY458706 UOU458682:UOU458706 UYQ458682:UYQ458706 VIM458682:VIM458706 VSI458682:VSI458706 WCE458682:WCE458706 WMA458682:WMA458706 WVW458682:WVW458706 O524276:O524300 JK524218:JK524242 TG524218:TG524242 ADC524218:ADC524242 AMY524218:AMY524242 AWU524218:AWU524242 BGQ524218:BGQ524242 BQM524218:BQM524242 CAI524218:CAI524242 CKE524218:CKE524242 CUA524218:CUA524242 DDW524218:DDW524242 DNS524218:DNS524242 DXO524218:DXO524242 EHK524218:EHK524242 ERG524218:ERG524242 FBC524218:FBC524242 FKY524218:FKY524242 FUU524218:FUU524242 GEQ524218:GEQ524242 GOM524218:GOM524242 GYI524218:GYI524242 HIE524218:HIE524242 HSA524218:HSA524242 IBW524218:IBW524242 ILS524218:ILS524242 IVO524218:IVO524242 JFK524218:JFK524242 JPG524218:JPG524242 JZC524218:JZC524242 KIY524218:KIY524242 KSU524218:KSU524242 LCQ524218:LCQ524242 LMM524218:LMM524242 LWI524218:LWI524242 MGE524218:MGE524242 MQA524218:MQA524242 MZW524218:MZW524242 NJS524218:NJS524242 NTO524218:NTO524242 ODK524218:ODK524242 ONG524218:ONG524242 OXC524218:OXC524242 PGY524218:PGY524242 PQU524218:PQU524242 QAQ524218:QAQ524242 QKM524218:QKM524242 QUI524218:QUI524242 REE524218:REE524242 ROA524218:ROA524242 RXW524218:RXW524242 SHS524218:SHS524242 SRO524218:SRO524242 TBK524218:TBK524242 TLG524218:TLG524242 TVC524218:TVC524242 UEY524218:UEY524242 UOU524218:UOU524242 UYQ524218:UYQ524242 VIM524218:VIM524242 VSI524218:VSI524242 WCE524218:WCE524242 WMA524218:WMA524242 WVW524218:WVW524242 O589812:O589836 JK589754:JK589778 TG589754:TG589778 ADC589754:ADC589778 AMY589754:AMY589778 AWU589754:AWU589778 BGQ589754:BGQ589778 BQM589754:BQM589778 CAI589754:CAI589778 CKE589754:CKE589778 CUA589754:CUA589778 DDW589754:DDW589778 DNS589754:DNS589778 DXO589754:DXO589778 EHK589754:EHK589778 ERG589754:ERG589778 FBC589754:FBC589778 FKY589754:FKY589778 FUU589754:FUU589778 GEQ589754:GEQ589778 GOM589754:GOM589778 GYI589754:GYI589778 HIE589754:HIE589778 HSA589754:HSA589778 IBW589754:IBW589778 ILS589754:ILS589778 IVO589754:IVO589778 JFK589754:JFK589778 JPG589754:JPG589778 JZC589754:JZC589778 KIY589754:KIY589778 KSU589754:KSU589778 LCQ589754:LCQ589778 LMM589754:LMM589778 LWI589754:LWI589778 MGE589754:MGE589778 MQA589754:MQA589778 MZW589754:MZW589778 NJS589754:NJS589778 NTO589754:NTO589778 ODK589754:ODK589778 ONG589754:ONG589778 OXC589754:OXC589778 PGY589754:PGY589778 PQU589754:PQU589778 QAQ589754:QAQ589778 QKM589754:QKM589778 QUI589754:QUI589778 REE589754:REE589778 ROA589754:ROA589778 RXW589754:RXW589778 SHS589754:SHS589778 SRO589754:SRO589778 TBK589754:TBK589778 TLG589754:TLG589778 TVC589754:TVC589778 UEY589754:UEY589778 UOU589754:UOU589778 UYQ589754:UYQ589778 VIM589754:VIM589778 VSI589754:VSI589778 WCE589754:WCE589778 WMA589754:WMA589778 WVW589754:WVW589778 O655348:O655372 JK655290:JK655314 TG655290:TG655314 ADC655290:ADC655314 AMY655290:AMY655314 AWU655290:AWU655314 BGQ655290:BGQ655314 BQM655290:BQM655314 CAI655290:CAI655314 CKE655290:CKE655314 CUA655290:CUA655314 DDW655290:DDW655314 DNS655290:DNS655314 DXO655290:DXO655314 EHK655290:EHK655314 ERG655290:ERG655314 FBC655290:FBC655314 FKY655290:FKY655314 FUU655290:FUU655314 GEQ655290:GEQ655314 GOM655290:GOM655314 GYI655290:GYI655314 HIE655290:HIE655314 HSA655290:HSA655314 IBW655290:IBW655314 ILS655290:ILS655314 IVO655290:IVO655314 JFK655290:JFK655314 JPG655290:JPG655314 JZC655290:JZC655314 KIY655290:KIY655314 KSU655290:KSU655314 LCQ655290:LCQ655314 LMM655290:LMM655314 LWI655290:LWI655314 MGE655290:MGE655314 MQA655290:MQA655314 MZW655290:MZW655314 NJS655290:NJS655314 NTO655290:NTO655314 ODK655290:ODK655314 ONG655290:ONG655314 OXC655290:OXC655314 PGY655290:PGY655314 PQU655290:PQU655314 QAQ655290:QAQ655314 QKM655290:QKM655314 QUI655290:QUI655314 REE655290:REE655314 ROA655290:ROA655314 RXW655290:RXW655314 SHS655290:SHS655314 SRO655290:SRO655314 TBK655290:TBK655314 TLG655290:TLG655314 TVC655290:TVC655314 UEY655290:UEY655314 UOU655290:UOU655314 UYQ655290:UYQ655314 VIM655290:VIM655314 VSI655290:VSI655314 WCE655290:WCE655314 WMA655290:WMA655314 WVW655290:WVW655314 O720884:O720908 JK720826:JK720850 TG720826:TG720850 ADC720826:ADC720850 AMY720826:AMY720850 AWU720826:AWU720850 BGQ720826:BGQ720850 BQM720826:BQM720850 CAI720826:CAI720850 CKE720826:CKE720850 CUA720826:CUA720850 DDW720826:DDW720850 DNS720826:DNS720850 DXO720826:DXO720850 EHK720826:EHK720850 ERG720826:ERG720850 FBC720826:FBC720850 FKY720826:FKY720850 FUU720826:FUU720850 GEQ720826:GEQ720850 GOM720826:GOM720850 GYI720826:GYI720850 HIE720826:HIE720850 HSA720826:HSA720850 IBW720826:IBW720850 ILS720826:ILS720850 IVO720826:IVO720850 JFK720826:JFK720850 JPG720826:JPG720850 JZC720826:JZC720850 KIY720826:KIY720850 KSU720826:KSU720850 LCQ720826:LCQ720850 LMM720826:LMM720850 LWI720826:LWI720850 MGE720826:MGE720850 MQA720826:MQA720850 MZW720826:MZW720850 NJS720826:NJS720850 NTO720826:NTO720850 ODK720826:ODK720850 ONG720826:ONG720850 OXC720826:OXC720850 PGY720826:PGY720850 PQU720826:PQU720850 QAQ720826:QAQ720850 QKM720826:QKM720850 QUI720826:QUI720850 REE720826:REE720850 ROA720826:ROA720850 RXW720826:RXW720850 SHS720826:SHS720850 SRO720826:SRO720850 TBK720826:TBK720850 TLG720826:TLG720850 TVC720826:TVC720850 UEY720826:UEY720850 UOU720826:UOU720850 UYQ720826:UYQ720850 VIM720826:VIM720850 VSI720826:VSI720850 WCE720826:WCE720850 WMA720826:WMA720850 WVW720826:WVW720850 O786420:O786444 JK786362:JK786386 TG786362:TG786386 ADC786362:ADC786386 AMY786362:AMY786386 AWU786362:AWU786386 BGQ786362:BGQ786386 BQM786362:BQM786386 CAI786362:CAI786386 CKE786362:CKE786386 CUA786362:CUA786386 DDW786362:DDW786386 DNS786362:DNS786386 DXO786362:DXO786386 EHK786362:EHK786386 ERG786362:ERG786386 FBC786362:FBC786386 FKY786362:FKY786386 FUU786362:FUU786386 GEQ786362:GEQ786386 GOM786362:GOM786386 GYI786362:GYI786386 HIE786362:HIE786386 HSA786362:HSA786386 IBW786362:IBW786386 ILS786362:ILS786386 IVO786362:IVO786386 JFK786362:JFK786386 JPG786362:JPG786386 JZC786362:JZC786386 KIY786362:KIY786386 KSU786362:KSU786386 LCQ786362:LCQ786386 LMM786362:LMM786386 LWI786362:LWI786386 MGE786362:MGE786386 MQA786362:MQA786386 MZW786362:MZW786386 NJS786362:NJS786386 NTO786362:NTO786386 ODK786362:ODK786386 ONG786362:ONG786386 OXC786362:OXC786386 PGY786362:PGY786386 PQU786362:PQU786386 QAQ786362:QAQ786386 QKM786362:QKM786386 QUI786362:QUI786386 REE786362:REE786386 ROA786362:ROA786386 RXW786362:RXW786386 SHS786362:SHS786386 SRO786362:SRO786386 TBK786362:TBK786386 TLG786362:TLG786386 TVC786362:TVC786386 UEY786362:UEY786386 UOU786362:UOU786386 UYQ786362:UYQ786386 VIM786362:VIM786386 VSI786362:VSI786386 WCE786362:WCE786386 WMA786362:WMA786386 WVW786362:WVW786386 O851956:O851980 JK851898:JK851922 TG851898:TG851922 ADC851898:ADC851922 AMY851898:AMY851922 AWU851898:AWU851922 BGQ851898:BGQ851922 BQM851898:BQM851922 CAI851898:CAI851922 CKE851898:CKE851922 CUA851898:CUA851922 DDW851898:DDW851922 DNS851898:DNS851922 DXO851898:DXO851922 EHK851898:EHK851922 ERG851898:ERG851922 FBC851898:FBC851922 FKY851898:FKY851922 FUU851898:FUU851922 GEQ851898:GEQ851922 GOM851898:GOM851922 GYI851898:GYI851922 HIE851898:HIE851922 HSA851898:HSA851922 IBW851898:IBW851922 ILS851898:ILS851922 IVO851898:IVO851922 JFK851898:JFK851922 JPG851898:JPG851922 JZC851898:JZC851922 KIY851898:KIY851922 KSU851898:KSU851922 LCQ851898:LCQ851922 LMM851898:LMM851922 LWI851898:LWI851922 MGE851898:MGE851922 MQA851898:MQA851922 MZW851898:MZW851922 NJS851898:NJS851922 NTO851898:NTO851922 ODK851898:ODK851922 ONG851898:ONG851922 OXC851898:OXC851922 PGY851898:PGY851922 PQU851898:PQU851922 QAQ851898:QAQ851922 QKM851898:QKM851922 QUI851898:QUI851922 REE851898:REE851922 ROA851898:ROA851922 RXW851898:RXW851922 SHS851898:SHS851922 SRO851898:SRO851922 TBK851898:TBK851922 TLG851898:TLG851922 TVC851898:TVC851922 UEY851898:UEY851922 UOU851898:UOU851922 UYQ851898:UYQ851922 VIM851898:VIM851922 VSI851898:VSI851922 WCE851898:WCE851922 WMA851898:WMA851922 WVW851898:WVW851922 O917492:O917516 JK917434:JK917458 TG917434:TG917458 ADC917434:ADC917458 AMY917434:AMY917458 AWU917434:AWU917458 BGQ917434:BGQ917458 BQM917434:BQM917458 CAI917434:CAI917458 CKE917434:CKE917458 CUA917434:CUA917458 DDW917434:DDW917458 DNS917434:DNS917458 DXO917434:DXO917458 EHK917434:EHK917458 ERG917434:ERG917458 FBC917434:FBC917458 FKY917434:FKY917458 FUU917434:FUU917458 GEQ917434:GEQ917458 GOM917434:GOM917458 GYI917434:GYI917458 HIE917434:HIE917458 HSA917434:HSA917458 IBW917434:IBW917458 ILS917434:ILS917458 IVO917434:IVO917458 JFK917434:JFK917458 JPG917434:JPG917458 JZC917434:JZC917458 KIY917434:KIY917458 KSU917434:KSU917458 LCQ917434:LCQ917458 LMM917434:LMM917458 LWI917434:LWI917458 MGE917434:MGE917458 MQA917434:MQA917458 MZW917434:MZW917458 NJS917434:NJS917458 NTO917434:NTO917458 ODK917434:ODK917458 ONG917434:ONG917458 OXC917434:OXC917458 PGY917434:PGY917458 PQU917434:PQU917458 QAQ917434:QAQ917458 QKM917434:QKM917458 QUI917434:QUI917458 REE917434:REE917458 ROA917434:ROA917458 RXW917434:RXW917458 SHS917434:SHS917458 SRO917434:SRO917458 TBK917434:TBK917458 TLG917434:TLG917458 TVC917434:TVC917458 UEY917434:UEY917458 UOU917434:UOU917458 UYQ917434:UYQ917458 VIM917434:VIM917458 VSI917434:VSI917458 WCE917434:WCE917458 WMA917434:WMA917458 WVW917434:WVW917458 O983028:O983052 JK982970:JK982994 TG982970:TG982994 ADC982970:ADC982994 AMY982970:AMY982994 AWU982970:AWU982994 BGQ982970:BGQ982994 BQM982970:BQM982994 CAI982970:CAI982994 CKE982970:CKE982994 CUA982970:CUA982994 DDW982970:DDW982994 DNS982970:DNS982994 DXO982970:DXO982994 EHK982970:EHK982994 ERG982970:ERG982994 FBC982970:FBC982994 FKY982970:FKY982994 FUU982970:FUU982994 GEQ982970:GEQ982994 GOM982970:GOM982994 GYI982970:GYI982994 HIE982970:HIE982994 HSA982970:HSA982994 IBW982970:IBW982994 ILS982970:ILS982994 IVO982970:IVO982994 JFK982970:JFK982994 JPG982970:JPG982994 JZC982970:JZC982994 KIY982970:KIY982994 KSU982970:KSU982994 LCQ982970:LCQ982994 LMM982970:LMM982994 LWI982970:LWI982994 MGE982970:MGE982994 MQA982970:MQA982994 MZW982970:MZW982994 NJS982970:NJS982994 NTO982970:NTO982994 ODK982970:ODK982994 ONG982970:ONG982994 OXC982970:OXC982994 PGY982970:PGY982994 PQU982970:PQU982994 QAQ982970:QAQ982994 QKM982970:QKM982994 QUI982970:QUI982994 REE982970:REE982994 ROA982970:ROA982994 RXW982970:RXW982994 SHS982970:SHS982994 SRO982970:SRO982994 TBK982970:TBK982994 TLG982970:TLG982994 TVC982970:TVC982994 UEY982970:UEY982994 UOU982970:UOU982994 UYQ982970:UYQ982994 VIM982970:VIM982994 VSI982970:VSI982994 WCE982970:WCE982994 WMA982970:WMA982994 WVW982970:WVW982994 O65524:O65548 WVV13:WVV513 WLZ13:WLZ513 WCD13:WCD513 VSH13:VSH513 VIL13:VIL513 UYP13:UYP513 UOT13:UOT513 UEX13:UEX513 TVB13:TVB513 TLF13:TLF513 TBJ13:TBJ513 SRN13:SRN513 SHR13:SHR513 RXV13:RXV513 RNZ13:RNZ513 RED13:RED513 QUH13:QUH513 QKL13:QKL513 QAP13:QAP513 PQT13:PQT513 PGX13:PGX513 OXB13:OXB513 ONF13:ONF513 ODJ13:ODJ513 NTN13:NTN513 NJR13:NJR513 MZV13:MZV513 MPZ13:MPZ513 MGD13:MGD513 LWH13:LWH513 LML13:LML513 LCP13:LCP513 KST13:KST513 KIX13:KIX513 JZB13:JZB513 JPF13:JPF513 JFJ13:JFJ513 IVN13:IVN513 ILR13:ILR513 IBV13:IBV513 HRZ13:HRZ513 HID13:HID513 GYH13:GYH513 GOL13:GOL513 GEP13:GEP513 FUT13:FUT513 FKX13:FKX513 FBB13:FBB513 ERF13:ERF513 EHJ13:EHJ513 DXN13:DXN513 DNR13:DNR513 DDV13:DDV513 CTZ13:CTZ513 CKD13:CKD513 CAH13:CAH513 BQL13:BQL513 BGP13:BGP513 AWT13:AWT513 AMX13:AMX513 ADB13:ADB513 TF13:TF513 JJ13:JJ513 O13:O513" xr:uid="{00000000-0002-0000-0E00-000003000000}"/>
    <dataValidation allowBlank="1" showInputMessage="1" showErrorMessage="1" prompt="Enter the amount the individual paid the contractor for R&amp;B. Review contractor's documentation to verify R&amp;B amount._x000a_" sqref="JL65466:JM65490 TH65466:TI65490 ADD65466:ADE65490 AMZ65466:ANA65490 AWV65466:AWW65490 BGR65466:BGS65490 BQN65466:BQO65490 CAJ65466:CAK65490 CKF65466:CKG65490 CUB65466:CUC65490 DDX65466:DDY65490 DNT65466:DNU65490 DXP65466:DXQ65490 EHL65466:EHM65490 ERH65466:ERI65490 FBD65466:FBE65490 FKZ65466:FLA65490 FUV65466:FUW65490 GER65466:GES65490 GON65466:GOO65490 GYJ65466:GYK65490 HIF65466:HIG65490 HSB65466:HSC65490 IBX65466:IBY65490 ILT65466:ILU65490 IVP65466:IVQ65490 JFL65466:JFM65490 JPH65466:JPI65490 JZD65466:JZE65490 KIZ65466:KJA65490 KSV65466:KSW65490 LCR65466:LCS65490 LMN65466:LMO65490 LWJ65466:LWK65490 MGF65466:MGG65490 MQB65466:MQC65490 MZX65466:MZY65490 NJT65466:NJU65490 NTP65466:NTQ65490 ODL65466:ODM65490 ONH65466:ONI65490 OXD65466:OXE65490 PGZ65466:PHA65490 PQV65466:PQW65490 QAR65466:QAS65490 QKN65466:QKO65490 QUJ65466:QUK65490 REF65466:REG65490 ROB65466:ROC65490 RXX65466:RXY65490 SHT65466:SHU65490 SRP65466:SRQ65490 TBL65466:TBM65490 TLH65466:TLI65490 TVD65466:TVE65490 UEZ65466:UFA65490 UOV65466:UOW65490 UYR65466:UYS65490 VIN65466:VIO65490 VSJ65466:VSK65490 WCF65466:WCG65490 WMB65466:WMC65490 WVX65466:WVY65490 P131060:Q131084 JL131002:JM131026 TH131002:TI131026 ADD131002:ADE131026 AMZ131002:ANA131026 AWV131002:AWW131026 BGR131002:BGS131026 BQN131002:BQO131026 CAJ131002:CAK131026 CKF131002:CKG131026 CUB131002:CUC131026 DDX131002:DDY131026 DNT131002:DNU131026 DXP131002:DXQ131026 EHL131002:EHM131026 ERH131002:ERI131026 FBD131002:FBE131026 FKZ131002:FLA131026 FUV131002:FUW131026 GER131002:GES131026 GON131002:GOO131026 GYJ131002:GYK131026 HIF131002:HIG131026 HSB131002:HSC131026 IBX131002:IBY131026 ILT131002:ILU131026 IVP131002:IVQ131026 JFL131002:JFM131026 JPH131002:JPI131026 JZD131002:JZE131026 KIZ131002:KJA131026 KSV131002:KSW131026 LCR131002:LCS131026 LMN131002:LMO131026 LWJ131002:LWK131026 MGF131002:MGG131026 MQB131002:MQC131026 MZX131002:MZY131026 NJT131002:NJU131026 NTP131002:NTQ131026 ODL131002:ODM131026 ONH131002:ONI131026 OXD131002:OXE131026 PGZ131002:PHA131026 PQV131002:PQW131026 QAR131002:QAS131026 QKN131002:QKO131026 QUJ131002:QUK131026 REF131002:REG131026 ROB131002:ROC131026 RXX131002:RXY131026 SHT131002:SHU131026 SRP131002:SRQ131026 TBL131002:TBM131026 TLH131002:TLI131026 TVD131002:TVE131026 UEZ131002:UFA131026 UOV131002:UOW131026 UYR131002:UYS131026 VIN131002:VIO131026 VSJ131002:VSK131026 WCF131002:WCG131026 WMB131002:WMC131026 WVX131002:WVY131026 P196596:Q196620 JL196538:JM196562 TH196538:TI196562 ADD196538:ADE196562 AMZ196538:ANA196562 AWV196538:AWW196562 BGR196538:BGS196562 BQN196538:BQO196562 CAJ196538:CAK196562 CKF196538:CKG196562 CUB196538:CUC196562 DDX196538:DDY196562 DNT196538:DNU196562 DXP196538:DXQ196562 EHL196538:EHM196562 ERH196538:ERI196562 FBD196538:FBE196562 FKZ196538:FLA196562 FUV196538:FUW196562 GER196538:GES196562 GON196538:GOO196562 GYJ196538:GYK196562 HIF196538:HIG196562 HSB196538:HSC196562 IBX196538:IBY196562 ILT196538:ILU196562 IVP196538:IVQ196562 JFL196538:JFM196562 JPH196538:JPI196562 JZD196538:JZE196562 KIZ196538:KJA196562 KSV196538:KSW196562 LCR196538:LCS196562 LMN196538:LMO196562 LWJ196538:LWK196562 MGF196538:MGG196562 MQB196538:MQC196562 MZX196538:MZY196562 NJT196538:NJU196562 NTP196538:NTQ196562 ODL196538:ODM196562 ONH196538:ONI196562 OXD196538:OXE196562 PGZ196538:PHA196562 PQV196538:PQW196562 QAR196538:QAS196562 QKN196538:QKO196562 QUJ196538:QUK196562 REF196538:REG196562 ROB196538:ROC196562 RXX196538:RXY196562 SHT196538:SHU196562 SRP196538:SRQ196562 TBL196538:TBM196562 TLH196538:TLI196562 TVD196538:TVE196562 UEZ196538:UFA196562 UOV196538:UOW196562 UYR196538:UYS196562 VIN196538:VIO196562 VSJ196538:VSK196562 WCF196538:WCG196562 WMB196538:WMC196562 WVX196538:WVY196562 P262132:Q262156 JL262074:JM262098 TH262074:TI262098 ADD262074:ADE262098 AMZ262074:ANA262098 AWV262074:AWW262098 BGR262074:BGS262098 BQN262074:BQO262098 CAJ262074:CAK262098 CKF262074:CKG262098 CUB262074:CUC262098 DDX262074:DDY262098 DNT262074:DNU262098 DXP262074:DXQ262098 EHL262074:EHM262098 ERH262074:ERI262098 FBD262074:FBE262098 FKZ262074:FLA262098 FUV262074:FUW262098 GER262074:GES262098 GON262074:GOO262098 GYJ262074:GYK262098 HIF262074:HIG262098 HSB262074:HSC262098 IBX262074:IBY262098 ILT262074:ILU262098 IVP262074:IVQ262098 JFL262074:JFM262098 JPH262074:JPI262098 JZD262074:JZE262098 KIZ262074:KJA262098 KSV262074:KSW262098 LCR262074:LCS262098 LMN262074:LMO262098 LWJ262074:LWK262098 MGF262074:MGG262098 MQB262074:MQC262098 MZX262074:MZY262098 NJT262074:NJU262098 NTP262074:NTQ262098 ODL262074:ODM262098 ONH262074:ONI262098 OXD262074:OXE262098 PGZ262074:PHA262098 PQV262074:PQW262098 QAR262074:QAS262098 QKN262074:QKO262098 QUJ262074:QUK262098 REF262074:REG262098 ROB262074:ROC262098 RXX262074:RXY262098 SHT262074:SHU262098 SRP262074:SRQ262098 TBL262074:TBM262098 TLH262074:TLI262098 TVD262074:TVE262098 UEZ262074:UFA262098 UOV262074:UOW262098 UYR262074:UYS262098 VIN262074:VIO262098 VSJ262074:VSK262098 WCF262074:WCG262098 WMB262074:WMC262098 WVX262074:WVY262098 P327668:Q327692 JL327610:JM327634 TH327610:TI327634 ADD327610:ADE327634 AMZ327610:ANA327634 AWV327610:AWW327634 BGR327610:BGS327634 BQN327610:BQO327634 CAJ327610:CAK327634 CKF327610:CKG327634 CUB327610:CUC327634 DDX327610:DDY327634 DNT327610:DNU327634 DXP327610:DXQ327634 EHL327610:EHM327634 ERH327610:ERI327634 FBD327610:FBE327634 FKZ327610:FLA327634 FUV327610:FUW327634 GER327610:GES327634 GON327610:GOO327634 GYJ327610:GYK327634 HIF327610:HIG327634 HSB327610:HSC327634 IBX327610:IBY327634 ILT327610:ILU327634 IVP327610:IVQ327634 JFL327610:JFM327634 JPH327610:JPI327634 JZD327610:JZE327634 KIZ327610:KJA327634 KSV327610:KSW327634 LCR327610:LCS327634 LMN327610:LMO327634 LWJ327610:LWK327634 MGF327610:MGG327634 MQB327610:MQC327634 MZX327610:MZY327634 NJT327610:NJU327634 NTP327610:NTQ327634 ODL327610:ODM327634 ONH327610:ONI327634 OXD327610:OXE327634 PGZ327610:PHA327634 PQV327610:PQW327634 QAR327610:QAS327634 QKN327610:QKO327634 QUJ327610:QUK327634 REF327610:REG327634 ROB327610:ROC327634 RXX327610:RXY327634 SHT327610:SHU327634 SRP327610:SRQ327634 TBL327610:TBM327634 TLH327610:TLI327634 TVD327610:TVE327634 UEZ327610:UFA327634 UOV327610:UOW327634 UYR327610:UYS327634 VIN327610:VIO327634 VSJ327610:VSK327634 WCF327610:WCG327634 WMB327610:WMC327634 WVX327610:WVY327634 P393204:Q393228 JL393146:JM393170 TH393146:TI393170 ADD393146:ADE393170 AMZ393146:ANA393170 AWV393146:AWW393170 BGR393146:BGS393170 BQN393146:BQO393170 CAJ393146:CAK393170 CKF393146:CKG393170 CUB393146:CUC393170 DDX393146:DDY393170 DNT393146:DNU393170 DXP393146:DXQ393170 EHL393146:EHM393170 ERH393146:ERI393170 FBD393146:FBE393170 FKZ393146:FLA393170 FUV393146:FUW393170 GER393146:GES393170 GON393146:GOO393170 GYJ393146:GYK393170 HIF393146:HIG393170 HSB393146:HSC393170 IBX393146:IBY393170 ILT393146:ILU393170 IVP393146:IVQ393170 JFL393146:JFM393170 JPH393146:JPI393170 JZD393146:JZE393170 KIZ393146:KJA393170 KSV393146:KSW393170 LCR393146:LCS393170 LMN393146:LMO393170 LWJ393146:LWK393170 MGF393146:MGG393170 MQB393146:MQC393170 MZX393146:MZY393170 NJT393146:NJU393170 NTP393146:NTQ393170 ODL393146:ODM393170 ONH393146:ONI393170 OXD393146:OXE393170 PGZ393146:PHA393170 PQV393146:PQW393170 QAR393146:QAS393170 QKN393146:QKO393170 QUJ393146:QUK393170 REF393146:REG393170 ROB393146:ROC393170 RXX393146:RXY393170 SHT393146:SHU393170 SRP393146:SRQ393170 TBL393146:TBM393170 TLH393146:TLI393170 TVD393146:TVE393170 UEZ393146:UFA393170 UOV393146:UOW393170 UYR393146:UYS393170 VIN393146:VIO393170 VSJ393146:VSK393170 WCF393146:WCG393170 WMB393146:WMC393170 WVX393146:WVY393170 P458740:Q458764 JL458682:JM458706 TH458682:TI458706 ADD458682:ADE458706 AMZ458682:ANA458706 AWV458682:AWW458706 BGR458682:BGS458706 BQN458682:BQO458706 CAJ458682:CAK458706 CKF458682:CKG458706 CUB458682:CUC458706 DDX458682:DDY458706 DNT458682:DNU458706 DXP458682:DXQ458706 EHL458682:EHM458706 ERH458682:ERI458706 FBD458682:FBE458706 FKZ458682:FLA458706 FUV458682:FUW458706 GER458682:GES458706 GON458682:GOO458706 GYJ458682:GYK458706 HIF458682:HIG458706 HSB458682:HSC458706 IBX458682:IBY458706 ILT458682:ILU458706 IVP458682:IVQ458706 JFL458682:JFM458706 JPH458682:JPI458706 JZD458682:JZE458706 KIZ458682:KJA458706 KSV458682:KSW458706 LCR458682:LCS458706 LMN458682:LMO458706 LWJ458682:LWK458706 MGF458682:MGG458706 MQB458682:MQC458706 MZX458682:MZY458706 NJT458682:NJU458706 NTP458682:NTQ458706 ODL458682:ODM458706 ONH458682:ONI458706 OXD458682:OXE458706 PGZ458682:PHA458706 PQV458682:PQW458706 QAR458682:QAS458706 QKN458682:QKO458706 QUJ458682:QUK458706 REF458682:REG458706 ROB458682:ROC458706 RXX458682:RXY458706 SHT458682:SHU458706 SRP458682:SRQ458706 TBL458682:TBM458706 TLH458682:TLI458706 TVD458682:TVE458706 UEZ458682:UFA458706 UOV458682:UOW458706 UYR458682:UYS458706 VIN458682:VIO458706 VSJ458682:VSK458706 WCF458682:WCG458706 WMB458682:WMC458706 WVX458682:WVY458706 P524276:Q524300 JL524218:JM524242 TH524218:TI524242 ADD524218:ADE524242 AMZ524218:ANA524242 AWV524218:AWW524242 BGR524218:BGS524242 BQN524218:BQO524242 CAJ524218:CAK524242 CKF524218:CKG524242 CUB524218:CUC524242 DDX524218:DDY524242 DNT524218:DNU524242 DXP524218:DXQ524242 EHL524218:EHM524242 ERH524218:ERI524242 FBD524218:FBE524242 FKZ524218:FLA524242 FUV524218:FUW524242 GER524218:GES524242 GON524218:GOO524242 GYJ524218:GYK524242 HIF524218:HIG524242 HSB524218:HSC524242 IBX524218:IBY524242 ILT524218:ILU524242 IVP524218:IVQ524242 JFL524218:JFM524242 JPH524218:JPI524242 JZD524218:JZE524242 KIZ524218:KJA524242 KSV524218:KSW524242 LCR524218:LCS524242 LMN524218:LMO524242 LWJ524218:LWK524242 MGF524218:MGG524242 MQB524218:MQC524242 MZX524218:MZY524242 NJT524218:NJU524242 NTP524218:NTQ524242 ODL524218:ODM524242 ONH524218:ONI524242 OXD524218:OXE524242 PGZ524218:PHA524242 PQV524218:PQW524242 QAR524218:QAS524242 QKN524218:QKO524242 QUJ524218:QUK524242 REF524218:REG524242 ROB524218:ROC524242 RXX524218:RXY524242 SHT524218:SHU524242 SRP524218:SRQ524242 TBL524218:TBM524242 TLH524218:TLI524242 TVD524218:TVE524242 UEZ524218:UFA524242 UOV524218:UOW524242 UYR524218:UYS524242 VIN524218:VIO524242 VSJ524218:VSK524242 WCF524218:WCG524242 WMB524218:WMC524242 WVX524218:WVY524242 P589812:Q589836 JL589754:JM589778 TH589754:TI589778 ADD589754:ADE589778 AMZ589754:ANA589778 AWV589754:AWW589778 BGR589754:BGS589778 BQN589754:BQO589778 CAJ589754:CAK589778 CKF589754:CKG589778 CUB589754:CUC589778 DDX589754:DDY589778 DNT589754:DNU589778 DXP589754:DXQ589778 EHL589754:EHM589778 ERH589754:ERI589778 FBD589754:FBE589778 FKZ589754:FLA589778 FUV589754:FUW589778 GER589754:GES589778 GON589754:GOO589778 GYJ589754:GYK589778 HIF589754:HIG589778 HSB589754:HSC589778 IBX589754:IBY589778 ILT589754:ILU589778 IVP589754:IVQ589778 JFL589754:JFM589778 JPH589754:JPI589778 JZD589754:JZE589778 KIZ589754:KJA589778 KSV589754:KSW589778 LCR589754:LCS589778 LMN589754:LMO589778 LWJ589754:LWK589778 MGF589754:MGG589778 MQB589754:MQC589778 MZX589754:MZY589778 NJT589754:NJU589778 NTP589754:NTQ589778 ODL589754:ODM589778 ONH589754:ONI589778 OXD589754:OXE589778 PGZ589754:PHA589778 PQV589754:PQW589778 QAR589754:QAS589778 QKN589754:QKO589778 QUJ589754:QUK589778 REF589754:REG589778 ROB589754:ROC589778 RXX589754:RXY589778 SHT589754:SHU589778 SRP589754:SRQ589778 TBL589754:TBM589778 TLH589754:TLI589778 TVD589754:TVE589778 UEZ589754:UFA589778 UOV589754:UOW589778 UYR589754:UYS589778 VIN589754:VIO589778 VSJ589754:VSK589778 WCF589754:WCG589778 WMB589754:WMC589778 WVX589754:WVY589778 P655348:Q655372 JL655290:JM655314 TH655290:TI655314 ADD655290:ADE655314 AMZ655290:ANA655314 AWV655290:AWW655314 BGR655290:BGS655314 BQN655290:BQO655314 CAJ655290:CAK655314 CKF655290:CKG655314 CUB655290:CUC655314 DDX655290:DDY655314 DNT655290:DNU655314 DXP655290:DXQ655314 EHL655290:EHM655314 ERH655290:ERI655314 FBD655290:FBE655314 FKZ655290:FLA655314 FUV655290:FUW655314 GER655290:GES655314 GON655290:GOO655314 GYJ655290:GYK655314 HIF655290:HIG655314 HSB655290:HSC655314 IBX655290:IBY655314 ILT655290:ILU655314 IVP655290:IVQ655314 JFL655290:JFM655314 JPH655290:JPI655314 JZD655290:JZE655314 KIZ655290:KJA655314 KSV655290:KSW655314 LCR655290:LCS655314 LMN655290:LMO655314 LWJ655290:LWK655314 MGF655290:MGG655314 MQB655290:MQC655314 MZX655290:MZY655314 NJT655290:NJU655314 NTP655290:NTQ655314 ODL655290:ODM655314 ONH655290:ONI655314 OXD655290:OXE655314 PGZ655290:PHA655314 PQV655290:PQW655314 QAR655290:QAS655314 QKN655290:QKO655314 QUJ655290:QUK655314 REF655290:REG655314 ROB655290:ROC655314 RXX655290:RXY655314 SHT655290:SHU655314 SRP655290:SRQ655314 TBL655290:TBM655314 TLH655290:TLI655314 TVD655290:TVE655314 UEZ655290:UFA655314 UOV655290:UOW655314 UYR655290:UYS655314 VIN655290:VIO655314 VSJ655290:VSK655314 WCF655290:WCG655314 WMB655290:WMC655314 WVX655290:WVY655314 P720884:Q720908 JL720826:JM720850 TH720826:TI720850 ADD720826:ADE720850 AMZ720826:ANA720850 AWV720826:AWW720850 BGR720826:BGS720850 BQN720826:BQO720850 CAJ720826:CAK720850 CKF720826:CKG720850 CUB720826:CUC720850 DDX720826:DDY720850 DNT720826:DNU720850 DXP720826:DXQ720850 EHL720826:EHM720850 ERH720826:ERI720850 FBD720826:FBE720850 FKZ720826:FLA720850 FUV720826:FUW720850 GER720826:GES720850 GON720826:GOO720850 GYJ720826:GYK720850 HIF720826:HIG720850 HSB720826:HSC720850 IBX720826:IBY720850 ILT720826:ILU720850 IVP720826:IVQ720850 JFL720826:JFM720850 JPH720826:JPI720850 JZD720826:JZE720850 KIZ720826:KJA720850 KSV720826:KSW720850 LCR720826:LCS720850 LMN720826:LMO720850 LWJ720826:LWK720850 MGF720826:MGG720850 MQB720826:MQC720850 MZX720826:MZY720850 NJT720826:NJU720850 NTP720826:NTQ720850 ODL720826:ODM720850 ONH720826:ONI720850 OXD720826:OXE720850 PGZ720826:PHA720850 PQV720826:PQW720850 QAR720826:QAS720850 QKN720826:QKO720850 QUJ720826:QUK720850 REF720826:REG720850 ROB720826:ROC720850 RXX720826:RXY720850 SHT720826:SHU720850 SRP720826:SRQ720850 TBL720826:TBM720850 TLH720826:TLI720850 TVD720826:TVE720850 UEZ720826:UFA720850 UOV720826:UOW720850 UYR720826:UYS720850 VIN720826:VIO720850 VSJ720826:VSK720850 WCF720826:WCG720850 WMB720826:WMC720850 WVX720826:WVY720850 P786420:Q786444 JL786362:JM786386 TH786362:TI786386 ADD786362:ADE786386 AMZ786362:ANA786386 AWV786362:AWW786386 BGR786362:BGS786386 BQN786362:BQO786386 CAJ786362:CAK786386 CKF786362:CKG786386 CUB786362:CUC786386 DDX786362:DDY786386 DNT786362:DNU786386 DXP786362:DXQ786386 EHL786362:EHM786386 ERH786362:ERI786386 FBD786362:FBE786386 FKZ786362:FLA786386 FUV786362:FUW786386 GER786362:GES786386 GON786362:GOO786386 GYJ786362:GYK786386 HIF786362:HIG786386 HSB786362:HSC786386 IBX786362:IBY786386 ILT786362:ILU786386 IVP786362:IVQ786386 JFL786362:JFM786386 JPH786362:JPI786386 JZD786362:JZE786386 KIZ786362:KJA786386 KSV786362:KSW786386 LCR786362:LCS786386 LMN786362:LMO786386 LWJ786362:LWK786386 MGF786362:MGG786386 MQB786362:MQC786386 MZX786362:MZY786386 NJT786362:NJU786386 NTP786362:NTQ786386 ODL786362:ODM786386 ONH786362:ONI786386 OXD786362:OXE786386 PGZ786362:PHA786386 PQV786362:PQW786386 QAR786362:QAS786386 QKN786362:QKO786386 QUJ786362:QUK786386 REF786362:REG786386 ROB786362:ROC786386 RXX786362:RXY786386 SHT786362:SHU786386 SRP786362:SRQ786386 TBL786362:TBM786386 TLH786362:TLI786386 TVD786362:TVE786386 UEZ786362:UFA786386 UOV786362:UOW786386 UYR786362:UYS786386 VIN786362:VIO786386 VSJ786362:VSK786386 WCF786362:WCG786386 WMB786362:WMC786386 WVX786362:WVY786386 P851956:Q851980 JL851898:JM851922 TH851898:TI851922 ADD851898:ADE851922 AMZ851898:ANA851922 AWV851898:AWW851922 BGR851898:BGS851922 BQN851898:BQO851922 CAJ851898:CAK851922 CKF851898:CKG851922 CUB851898:CUC851922 DDX851898:DDY851922 DNT851898:DNU851922 DXP851898:DXQ851922 EHL851898:EHM851922 ERH851898:ERI851922 FBD851898:FBE851922 FKZ851898:FLA851922 FUV851898:FUW851922 GER851898:GES851922 GON851898:GOO851922 GYJ851898:GYK851922 HIF851898:HIG851922 HSB851898:HSC851922 IBX851898:IBY851922 ILT851898:ILU851922 IVP851898:IVQ851922 JFL851898:JFM851922 JPH851898:JPI851922 JZD851898:JZE851922 KIZ851898:KJA851922 KSV851898:KSW851922 LCR851898:LCS851922 LMN851898:LMO851922 LWJ851898:LWK851922 MGF851898:MGG851922 MQB851898:MQC851922 MZX851898:MZY851922 NJT851898:NJU851922 NTP851898:NTQ851922 ODL851898:ODM851922 ONH851898:ONI851922 OXD851898:OXE851922 PGZ851898:PHA851922 PQV851898:PQW851922 QAR851898:QAS851922 QKN851898:QKO851922 QUJ851898:QUK851922 REF851898:REG851922 ROB851898:ROC851922 RXX851898:RXY851922 SHT851898:SHU851922 SRP851898:SRQ851922 TBL851898:TBM851922 TLH851898:TLI851922 TVD851898:TVE851922 UEZ851898:UFA851922 UOV851898:UOW851922 UYR851898:UYS851922 VIN851898:VIO851922 VSJ851898:VSK851922 WCF851898:WCG851922 WMB851898:WMC851922 WVX851898:WVY851922 P917492:Q917516 JL917434:JM917458 TH917434:TI917458 ADD917434:ADE917458 AMZ917434:ANA917458 AWV917434:AWW917458 BGR917434:BGS917458 BQN917434:BQO917458 CAJ917434:CAK917458 CKF917434:CKG917458 CUB917434:CUC917458 DDX917434:DDY917458 DNT917434:DNU917458 DXP917434:DXQ917458 EHL917434:EHM917458 ERH917434:ERI917458 FBD917434:FBE917458 FKZ917434:FLA917458 FUV917434:FUW917458 GER917434:GES917458 GON917434:GOO917458 GYJ917434:GYK917458 HIF917434:HIG917458 HSB917434:HSC917458 IBX917434:IBY917458 ILT917434:ILU917458 IVP917434:IVQ917458 JFL917434:JFM917458 JPH917434:JPI917458 JZD917434:JZE917458 KIZ917434:KJA917458 KSV917434:KSW917458 LCR917434:LCS917458 LMN917434:LMO917458 LWJ917434:LWK917458 MGF917434:MGG917458 MQB917434:MQC917458 MZX917434:MZY917458 NJT917434:NJU917458 NTP917434:NTQ917458 ODL917434:ODM917458 ONH917434:ONI917458 OXD917434:OXE917458 PGZ917434:PHA917458 PQV917434:PQW917458 QAR917434:QAS917458 QKN917434:QKO917458 QUJ917434:QUK917458 REF917434:REG917458 ROB917434:ROC917458 RXX917434:RXY917458 SHT917434:SHU917458 SRP917434:SRQ917458 TBL917434:TBM917458 TLH917434:TLI917458 TVD917434:TVE917458 UEZ917434:UFA917458 UOV917434:UOW917458 UYR917434:UYS917458 VIN917434:VIO917458 VSJ917434:VSK917458 WCF917434:WCG917458 WMB917434:WMC917458 WVX917434:WVY917458 P983028:Q983052 JL982970:JM982994 TH982970:TI982994 ADD982970:ADE982994 AMZ982970:ANA982994 AWV982970:AWW982994 BGR982970:BGS982994 BQN982970:BQO982994 CAJ982970:CAK982994 CKF982970:CKG982994 CUB982970:CUC982994 DDX982970:DDY982994 DNT982970:DNU982994 DXP982970:DXQ982994 EHL982970:EHM982994 ERH982970:ERI982994 FBD982970:FBE982994 FKZ982970:FLA982994 FUV982970:FUW982994 GER982970:GES982994 GON982970:GOO982994 GYJ982970:GYK982994 HIF982970:HIG982994 HSB982970:HSC982994 IBX982970:IBY982994 ILT982970:ILU982994 IVP982970:IVQ982994 JFL982970:JFM982994 JPH982970:JPI982994 JZD982970:JZE982994 KIZ982970:KJA982994 KSV982970:KSW982994 LCR982970:LCS982994 LMN982970:LMO982994 LWJ982970:LWK982994 MGF982970:MGG982994 MQB982970:MQC982994 MZX982970:MZY982994 NJT982970:NJU982994 NTP982970:NTQ982994 ODL982970:ODM982994 ONH982970:ONI982994 OXD982970:OXE982994 PGZ982970:PHA982994 PQV982970:PQW982994 QAR982970:QAS982994 QKN982970:QKO982994 QUJ982970:QUK982994 REF982970:REG982994 ROB982970:ROC982994 RXX982970:RXY982994 SHT982970:SHU982994 SRP982970:SRQ982994 TBL982970:TBM982994 TLH982970:TLI982994 TVD982970:TVE982994 UEZ982970:UFA982994 UOV982970:UOW982994 UYR982970:UYS982994 VIN982970:VIO982994 VSJ982970:VSK982994 WCF982970:WCG982994 WMB982970:WMC982994 WVX982970:WVY982994 P65524:Q65548 WVW13:WVX513 WMA13:WMB513 WCE13:WCF513 VSI13:VSJ513 VIM13:VIN513 UYQ13:UYR513 UOU13:UOV513 UEY13:UEZ513 TVC13:TVD513 TLG13:TLH513 TBK13:TBL513 SRO13:SRP513 SHS13:SHT513 RXW13:RXX513 ROA13:ROB513 REE13:REF513 QUI13:QUJ513 QKM13:QKN513 QAQ13:QAR513 PQU13:PQV513 PGY13:PGZ513 OXC13:OXD513 ONG13:ONH513 ODK13:ODL513 NTO13:NTP513 NJS13:NJT513 MZW13:MZX513 MQA13:MQB513 MGE13:MGF513 LWI13:LWJ513 LMM13:LMN513 LCQ13:LCR513 KSU13:KSV513 KIY13:KIZ513 JZC13:JZD513 JPG13:JPH513 JFK13:JFL513 IVO13:IVP513 ILS13:ILT513 IBW13:IBX513 HSA13:HSB513 HIE13:HIF513 GYI13:GYJ513 GOM13:GON513 GEQ13:GER513 FUU13:FUV513 FKY13:FKZ513 FBC13:FBD513 ERG13:ERH513 EHK13:EHL513 DXO13:DXP513 DNS13:DNT513 DDW13:DDX513 CUA13:CUB513 CKE13:CKF513 CAI13:CAJ513 BQM13:BQN513 BGQ13:BGR513 AWU13:AWV513 AMY13:AMZ513 ADC13:ADD513 TG13:TH513 JK13:JL513 P13:P513" xr:uid="{00000000-0002-0000-0E00-000004000000}"/>
    <dataValidation allowBlank="1" showInputMessage="1" showErrorMessage="1" prompt="Enter the number of billable/documented units/days from daily census. For CBA, CCAD or ICM refer to F3251, for CWP refer to F2213" sqref="JN65466:JN65490 TJ65466:TJ65490 ADF65466:ADF65490 ANB65466:ANB65490 AWX65466:AWX65490 BGT65466:BGT65490 BQP65466:BQP65490 CAL65466:CAL65490 CKH65466:CKH65490 CUD65466:CUD65490 DDZ65466:DDZ65490 DNV65466:DNV65490 DXR65466:DXR65490 EHN65466:EHN65490 ERJ65466:ERJ65490 FBF65466:FBF65490 FLB65466:FLB65490 FUX65466:FUX65490 GET65466:GET65490 GOP65466:GOP65490 GYL65466:GYL65490 HIH65466:HIH65490 HSD65466:HSD65490 IBZ65466:IBZ65490 ILV65466:ILV65490 IVR65466:IVR65490 JFN65466:JFN65490 JPJ65466:JPJ65490 JZF65466:JZF65490 KJB65466:KJB65490 KSX65466:KSX65490 LCT65466:LCT65490 LMP65466:LMP65490 LWL65466:LWL65490 MGH65466:MGH65490 MQD65466:MQD65490 MZZ65466:MZZ65490 NJV65466:NJV65490 NTR65466:NTR65490 ODN65466:ODN65490 ONJ65466:ONJ65490 OXF65466:OXF65490 PHB65466:PHB65490 PQX65466:PQX65490 QAT65466:QAT65490 QKP65466:QKP65490 QUL65466:QUL65490 REH65466:REH65490 ROD65466:ROD65490 RXZ65466:RXZ65490 SHV65466:SHV65490 SRR65466:SRR65490 TBN65466:TBN65490 TLJ65466:TLJ65490 TVF65466:TVF65490 UFB65466:UFB65490 UOX65466:UOX65490 UYT65466:UYT65490 VIP65466:VIP65490 VSL65466:VSL65490 WCH65466:WCH65490 WMD65466:WMD65490 WVZ65466:WVZ65490 R131031:R131055 JN131002:JN131026 TJ131002:TJ131026 ADF131002:ADF131026 ANB131002:ANB131026 AWX131002:AWX131026 BGT131002:BGT131026 BQP131002:BQP131026 CAL131002:CAL131026 CKH131002:CKH131026 CUD131002:CUD131026 DDZ131002:DDZ131026 DNV131002:DNV131026 DXR131002:DXR131026 EHN131002:EHN131026 ERJ131002:ERJ131026 FBF131002:FBF131026 FLB131002:FLB131026 FUX131002:FUX131026 GET131002:GET131026 GOP131002:GOP131026 GYL131002:GYL131026 HIH131002:HIH131026 HSD131002:HSD131026 IBZ131002:IBZ131026 ILV131002:ILV131026 IVR131002:IVR131026 JFN131002:JFN131026 JPJ131002:JPJ131026 JZF131002:JZF131026 KJB131002:KJB131026 KSX131002:KSX131026 LCT131002:LCT131026 LMP131002:LMP131026 LWL131002:LWL131026 MGH131002:MGH131026 MQD131002:MQD131026 MZZ131002:MZZ131026 NJV131002:NJV131026 NTR131002:NTR131026 ODN131002:ODN131026 ONJ131002:ONJ131026 OXF131002:OXF131026 PHB131002:PHB131026 PQX131002:PQX131026 QAT131002:QAT131026 QKP131002:QKP131026 QUL131002:QUL131026 REH131002:REH131026 ROD131002:ROD131026 RXZ131002:RXZ131026 SHV131002:SHV131026 SRR131002:SRR131026 TBN131002:TBN131026 TLJ131002:TLJ131026 TVF131002:TVF131026 UFB131002:UFB131026 UOX131002:UOX131026 UYT131002:UYT131026 VIP131002:VIP131026 VSL131002:VSL131026 WCH131002:WCH131026 WMD131002:WMD131026 WVZ131002:WVZ131026 R196567:R196591 JN196538:JN196562 TJ196538:TJ196562 ADF196538:ADF196562 ANB196538:ANB196562 AWX196538:AWX196562 BGT196538:BGT196562 BQP196538:BQP196562 CAL196538:CAL196562 CKH196538:CKH196562 CUD196538:CUD196562 DDZ196538:DDZ196562 DNV196538:DNV196562 DXR196538:DXR196562 EHN196538:EHN196562 ERJ196538:ERJ196562 FBF196538:FBF196562 FLB196538:FLB196562 FUX196538:FUX196562 GET196538:GET196562 GOP196538:GOP196562 GYL196538:GYL196562 HIH196538:HIH196562 HSD196538:HSD196562 IBZ196538:IBZ196562 ILV196538:ILV196562 IVR196538:IVR196562 JFN196538:JFN196562 JPJ196538:JPJ196562 JZF196538:JZF196562 KJB196538:KJB196562 KSX196538:KSX196562 LCT196538:LCT196562 LMP196538:LMP196562 LWL196538:LWL196562 MGH196538:MGH196562 MQD196538:MQD196562 MZZ196538:MZZ196562 NJV196538:NJV196562 NTR196538:NTR196562 ODN196538:ODN196562 ONJ196538:ONJ196562 OXF196538:OXF196562 PHB196538:PHB196562 PQX196538:PQX196562 QAT196538:QAT196562 QKP196538:QKP196562 QUL196538:QUL196562 REH196538:REH196562 ROD196538:ROD196562 RXZ196538:RXZ196562 SHV196538:SHV196562 SRR196538:SRR196562 TBN196538:TBN196562 TLJ196538:TLJ196562 TVF196538:TVF196562 UFB196538:UFB196562 UOX196538:UOX196562 UYT196538:UYT196562 VIP196538:VIP196562 VSL196538:VSL196562 WCH196538:WCH196562 WMD196538:WMD196562 WVZ196538:WVZ196562 R262103:R262127 JN262074:JN262098 TJ262074:TJ262098 ADF262074:ADF262098 ANB262074:ANB262098 AWX262074:AWX262098 BGT262074:BGT262098 BQP262074:BQP262098 CAL262074:CAL262098 CKH262074:CKH262098 CUD262074:CUD262098 DDZ262074:DDZ262098 DNV262074:DNV262098 DXR262074:DXR262098 EHN262074:EHN262098 ERJ262074:ERJ262098 FBF262074:FBF262098 FLB262074:FLB262098 FUX262074:FUX262098 GET262074:GET262098 GOP262074:GOP262098 GYL262074:GYL262098 HIH262074:HIH262098 HSD262074:HSD262098 IBZ262074:IBZ262098 ILV262074:ILV262098 IVR262074:IVR262098 JFN262074:JFN262098 JPJ262074:JPJ262098 JZF262074:JZF262098 KJB262074:KJB262098 KSX262074:KSX262098 LCT262074:LCT262098 LMP262074:LMP262098 LWL262074:LWL262098 MGH262074:MGH262098 MQD262074:MQD262098 MZZ262074:MZZ262098 NJV262074:NJV262098 NTR262074:NTR262098 ODN262074:ODN262098 ONJ262074:ONJ262098 OXF262074:OXF262098 PHB262074:PHB262098 PQX262074:PQX262098 QAT262074:QAT262098 QKP262074:QKP262098 QUL262074:QUL262098 REH262074:REH262098 ROD262074:ROD262098 RXZ262074:RXZ262098 SHV262074:SHV262098 SRR262074:SRR262098 TBN262074:TBN262098 TLJ262074:TLJ262098 TVF262074:TVF262098 UFB262074:UFB262098 UOX262074:UOX262098 UYT262074:UYT262098 VIP262074:VIP262098 VSL262074:VSL262098 WCH262074:WCH262098 WMD262074:WMD262098 WVZ262074:WVZ262098 R327639:R327663 JN327610:JN327634 TJ327610:TJ327634 ADF327610:ADF327634 ANB327610:ANB327634 AWX327610:AWX327634 BGT327610:BGT327634 BQP327610:BQP327634 CAL327610:CAL327634 CKH327610:CKH327634 CUD327610:CUD327634 DDZ327610:DDZ327634 DNV327610:DNV327634 DXR327610:DXR327634 EHN327610:EHN327634 ERJ327610:ERJ327634 FBF327610:FBF327634 FLB327610:FLB327634 FUX327610:FUX327634 GET327610:GET327634 GOP327610:GOP327634 GYL327610:GYL327634 HIH327610:HIH327634 HSD327610:HSD327634 IBZ327610:IBZ327634 ILV327610:ILV327634 IVR327610:IVR327634 JFN327610:JFN327634 JPJ327610:JPJ327634 JZF327610:JZF327634 KJB327610:KJB327634 KSX327610:KSX327634 LCT327610:LCT327634 LMP327610:LMP327634 LWL327610:LWL327634 MGH327610:MGH327634 MQD327610:MQD327634 MZZ327610:MZZ327634 NJV327610:NJV327634 NTR327610:NTR327634 ODN327610:ODN327634 ONJ327610:ONJ327634 OXF327610:OXF327634 PHB327610:PHB327634 PQX327610:PQX327634 QAT327610:QAT327634 QKP327610:QKP327634 QUL327610:QUL327634 REH327610:REH327634 ROD327610:ROD327634 RXZ327610:RXZ327634 SHV327610:SHV327634 SRR327610:SRR327634 TBN327610:TBN327634 TLJ327610:TLJ327634 TVF327610:TVF327634 UFB327610:UFB327634 UOX327610:UOX327634 UYT327610:UYT327634 VIP327610:VIP327634 VSL327610:VSL327634 WCH327610:WCH327634 WMD327610:WMD327634 WVZ327610:WVZ327634 R393175:R393199 JN393146:JN393170 TJ393146:TJ393170 ADF393146:ADF393170 ANB393146:ANB393170 AWX393146:AWX393170 BGT393146:BGT393170 BQP393146:BQP393170 CAL393146:CAL393170 CKH393146:CKH393170 CUD393146:CUD393170 DDZ393146:DDZ393170 DNV393146:DNV393170 DXR393146:DXR393170 EHN393146:EHN393170 ERJ393146:ERJ393170 FBF393146:FBF393170 FLB393146:FLB393170 FUX393146:FUX393170 GET393146:GET393170 GOP393146:GOP393170 GYL393146:GYL393170 HIH393146:HIH393170 HSD393146:HSD393170 IBZ393146:IBZ393170 ILV393146:ILV393170 IVR393146:IVR393170 JFN393146:JFN393170 JPJ393146:JPJ393170 JZF393146:JZF393170 KJB393146:KJB393170 KSX393146:KSX393170 LCT393146:LCT393170 LMP393146:LMP393170 LWL393146:LWL393170 MGH393146:MGH393170 MQD393146:MQD393170 MZZ393146:MZZ393170 NJV393146:NJV393170 NTR393146:NTR393170 ODN393146:ODN393170 ONJ393146:ONJ393170 OXF393146:OXF393170 PHB393146:PHB393170 PQX393146:PQX393170 QAT393146:QAT393170 QKP393146:QKP393170 QUL393146:QUL393170 REH393146:REH393170 ROD393146:ROD393170 RXZ393146:RXZ393170 SHV393146:SHV393170 SRR393146:SRR393170 TBN393146:TBN393170 TLJ393146:TLJ393170 TVF393146:TVF393170 UFB393146:UFB393170 UOX393146:UOX393170 UYT393146:UYT393170 VIP393146:VIP393170 VSL393146:VSL393170 WCH393146:WCH393170 WMD393146:WMD393170 WVZ393146:WVZ393170 R458711:R458735 JN458682:JN458706 TJ458682:TJ458706 ADF458682:ADF458706 ANB458682:ANB458706 AWX458682:AWX458706 BGT458682:BGT458706 BQP458682:BQP458706 CAL458682:CAL458706 CKH458682:CKH458706 CUD458682:CUD458706 DDZ458682:DDZ458706 DNV458682:DNV458706 DXR458682:DXR458706 EHN458682:EHN458706 ERJ458682:ERJ458706 FBF458682:FBF458706 FLB458682:FLB458706 FUX458682:FUX458706 GET458682:GET458706 GOP458682:GOP458706 GYL458682:GYL458706 HIH458682:HIH458706 HSD458682:HSD458706 IBZ458682:IBZ458706 ILV458682:ILV458706 IVR458682:IVR458706 JFN458682:JFN458706 JPJ458682:JPJ458706 JZF458682:JZF458706 KJB458682:KJB458706 KSX458682:KSX458706 LCT458682:LCT458706 LMP458682:LMP458706 LWL458682:LWL458706 MGH458682:MGH458706 MQD458682:MQD458706 MZZ458682:MZZ458706 NJV458682:NJV458706 NTR458682:NTR458706 ODN458682:ODN458706 ONJ458682:ONJ458706 OXF458682:OXF458706 PHB458682:PHB458706 PQX458682:PQX458706 QAT458682:QAT458706 QKP458682:QKP458706 QUL458682:QUL458706 REH458682:REH458706 ROD458682:ROD458706 RXZ458682:RXZ458706 SHV458682:SHV458706 SRR458682:SRR458706 TBN458682:TBN458706 TLJ458682:TLJ458706 TVF458682:TVF458706 UFB458682:UFB458706 UOX458682:UOX458706 UYT458682:UYT458706 VIP458682:VIP458706 VSL458682:VSL458706 WCH458682:WCH458706 WMD458682:WMD458706 WVZ458682:WVZ458706 R524247:R524271 JN524218:JN524242 TJ524218:TJ524242 ADF524218:ADF524242 ANB524218:ANB524242 AWX524218:AWX524242 BGT524218:BGT524242 BQP524218:BQP524242 CAL524218:CAL524242 CKH524218:CKH524242 CUD524218:CUD524242 DDZ524218:DDZ524242 DNV524218:DNV524242 DXR524218:DXR524242 EHN524218:EHN524242 ERJ524218:ERJ524242 FBF524218:FBF524242 FLB524218:FLB524242 FUX524218:FUX524242 GET524218:GET524242 GOP524218:GOP524242 GYL524218:GYL524242 HIH524218:HIH524242 HSD524218:HSD524242 IBZ524218:IBZ524242 ILV524218:ILV524242 IVR524218:IVR524242 JFN524218:JFN524242 JPJ524218:JPJ524242 JZF524218:JZF524242 KJB524218:KJB524242 KSX524218:KSX524242 LCT524218:LCT524242 LMP524218:LMP524242 LWL524218:LWL524242 MGH524218:MGH524242 MQD524218:MQD524242 MZZ524218:MZZ524242 NJV524218:NJV524242 NTR524218:NTR524242 ODN524218:ODN524242 ONJ524218:ONJ524242 OXF524218:OXF524242 PHB524218:PHB524242 PQX524218:PQX524242 QAT524218:QAT524242 QKP524218:QKP524242 QUL524218:QUL524242 REH524218:REH524242 ROD524218:ROD524242 RXZ524218:RXZ524242 SHV524218:SHV524242 SRR524218:SRR524242 TBN524218:TBN524242 TLJ524218:TLJ524242 TVF524218:TVF524242 UFB524218:UFB524242 UOX524218:UOX524242 UYT524218:UYT524242 VIP524218:VIP524242 VSL524218:VSL524242 WCH524218:WCH524242 WMD524218:WMD524242 WVZ524218:WVZ524242 R589783:R589807 JN589754:JN589778 TJ589754:TJ589778 ADF589754:ADF589778 ANB589754:ANB589778 AWX589754:AWX589778 BGT589754:BGT589778 BQP589754:BQP589778 CAL589754:CAL589778 CKH589754:CKH589778 CUD589754:CUD589778 DDZ589754:DDZ589778 DNV589754:DNV589778 DXR589754:DXR589778 EHN589754:EHN589778 ERJ589754:ERJ589778 FBF589754:FBF589778 FLB589754:FLB589778 FUX589754:FUX589778 GET589754:GET589778 GOP589754:GOP589778 GYL589754:GYL589778 HIH589754:HIH589778 HSD589754:HSD589778 IBZ589754:IBZ589778 ILV589754:ILV589778 IVR589754:IVR589778 JFN589754:JFN589778 JPJ589754:JPJ589778 JZF589754:JZF589778 KJB589754:KJB589778 KSX589754:KSX589778 LCT589754:LCT589778 LMP589754:LMP589778 LWL589754:LWL589778 MGH589754:MGH589778 MQD589754:MQD589778 MZZ589754:MZZ589778 NJV589754:NJV589778 NTR589754:NTR589778 ODN589754:ODN589778 ONJ589754:ONJ589778 OXF589754:OXF589778 PHB589754:PHB589778 PQX589754:PQX589778 QAT589754:QAT589778 QKP589754:QKP589778 QUL589754:QUL589778 REH589754:REH589778 ROD589754:ROD589778 RXZ589754:RXZ589778 SHV589754:SHV589778 SRR589754:SRR589778 TBN589754:TBN589778 TLJ589754:TLJ589778 TVF589754:TVF589778 UFB589754:UFB589778 UOX589754:UOX589778 UYT589754:UYT589778 VIP589754:VIP589778 VSL589754:VSL589778 WCH589754:WCH589778 WMD589754:WMD589778 WVZ589754:WVZ589778 R655319:R655343 JN655290:JN655314 TJ655290:TJ655314 ADF655290:ADF655314 ANB655290:ANB655314 AWX655290:AWX655314 BGT655290:BGT655314 BQP655290:BQP655314 CAL655290:CAL655314 CKH655290:CKH655314 CUD655290:CUD655314 DDZ655290:DDZ655314 DNV655290:DNV655314 DXR655290:DXR655314 EHN655290:EHN655314 ERJ655290:ERJ655314 FBF655290:FBF655314 FLB655290:FLB655314 FUX655290:FUX655314 GET655290:GET655314 GOP655290:GOP655314 GYL655290:GYL655314 HIH655290:HIH655314 HSD655290:HSD655314 IBZ655290:IBZ655314 ILV655290:ILV655314 IVR655290:IVR655314 JFN655290:JFN655314 JPJ655290:JPJ655314 JZF655290:JZF655314 KJB655290:KJB655314 KSX655290:KSX655314 LCT655290:LCT655314 LMP655290:LMP655314 LWL655290:LWL655314 MGH655290:MGH655314 MQD655290:MQD655314 MZZ655290:MZZ655314 NJV655290:NJV655314 NTR655290:NTR655314 ODN655290:ODN655314 ONJ655290:ONJ655314 OXF655290:OXF655314 PHB655290:PHB655314 PQX655290:PQX655314 QAT655290:QAT655314 QKP655290:QKP655314 QUL655290:QUL655314 REH655290:REH655314 ROD655290:ROD655314 RXZ655290:RXZ655314 SHV655290:SHV655314 SRR655290:SRR655314 TBN655290:TBN655314 TLJ655290:TLJ655314 TVF655290:TVF655314 UFB655290:UFB655314 UOX655290:UOX655314 UYT655290:UYT655314 VIP655290:VIP655314 VSL655290:VSL655314 WCH655290:WCH655314 WMD655290:WMD655314 WVZ655290:WVZ655314 R720855:R720879 JN720826:JN720850 TJ720826:TJ720850 ADF720826:ADF720850 ANB720826:ANB720850 AWX720826:AWX720850 BGT720826:BGT720850 BQP720826:BQP720850 CAL720826:CAL720850 CKH720826:CKH720850 CUD720826:CUD720850 DDZ720826:DDZ720850 DNV720826:DNV720850 DXR720826:DXR720850 EHN720826:EHN720850 ERJ720826:ERJ720850 FBF720826:FBF720850 FLB720826:FLB720850 FUX720826:FUX720850 GET720826:GET720850 GOP720826:GOP720850 GYL720826:GYL720850 HIH720826:HIH720850 HSD720826:HSD720850 IBZ720826:IBZ720850 ILV720826:ILV720850 IVR720826:IVR720850 JFN720826:JFN720850 JPJ720826:JPJ720850 JZF720826:JZF720850 KJB720826:KJB720850 KSX720826:KSX720850 LCT720826:LCT720850 LMP720826:LMP720850 LWL720826:LWL720850 MGH720826:MGH720850 MQD720826:MQD720850 MZZ720826:MZZ720850 NJV720826:NJV720850 NTR720826:NTR720850 ODN720826:ODN720850 ONJ720826:ONJ720850 OXF720826:OXF720850 PHB720826:PHB720850 PQX720826:PQX720850 QAT720826:QAT720850 QKP720826:QKP720850 QUL720826:QUL720850 REH720826:REH720850 ROD720826:ROD720850 RXZ720826:RXZ720850 SHV720826:SHV720850 SRR720826:SRR720850 TBN720826:TBN720850 TLJ720826:TLJ720850 TVF720826:TVF720850 UFB720826:UFB720850 UOX720826:UOX720850 UYT720826:UYT720850 VIP720826:VIP720850 VSL720826:VSL720850 WCH720826:WCH720850 WMD720826:WMD720850 WVZ720826:WVZ720850 R786391:R786415 JN786362:JN786386 TJ786362:TJ786386 ADF786362:ADF786386 ANB786362:ANB786386 AWX786362:AWX786386 BGT786362:BGT786386 BQP786362:BQP786386 CAL786362:CAL786386 CKH786362:CKH786386 CUD786362:CUD786386 DDZ786362:DDZ786386 DNV786362:DNV786386 DXR786362:DXR786386 EHN786362:EHN786386 ERJ786362:ERJ786386 FBF786362:FBF786386 FLB786362:FLB786386 FUX786362:FUX786386 GET786362:GET786386 GOP786362:GOP786386 GYL786362:GYL786386 HIH786362:HIH786386 HSD786362:HSD786386 IBZ786362:IBZ786386 ILV786362:ILV786386 IVR786362:IVR786386 JFN786362:JFN786386 JPJ786362:JPJ786386 JZF786362:JZF786386 KJB786362:KJB786386 KSX786362:KSX786386 LCT786362:LCT786386 LMP786362:LMP786386 LWL786362:LWL786386 MGH786362:MGH786386 MQD786362:MQD786386 MZZ786362:MZZ786386 NJV786362:NJV786386 NTR786362:NTR786386 ODN786362:ODN786386 ONJ786362:ONJ786386 OXF786362:OXF786386 PHB786362:PHB786386 PQX786362:PQX786386 QAT786362:QAT786386 QKP786362:QKP786386 QUL786362:QUL786386 REH786362:REH786386 ROD786362:ROD786386 RXZ786362:RXZ786386 SHV786362:SHV786386 SRR786362:SRR786386 TBN786362:TBN786386 TLJ786362:TLJ786386 TVF786362:TVF786386 UFB786362:UFB786386 UOX786362:UOX786386 UYT786362:UYT786386 VIP786362:VIP786386 VSL786362:VSL786386 WCH786362:WCH786386 WMD786362:WMD786386 WVZ786362:WVZ786386 R851927:R851951 JN851898:JN851922 TJ851898:TJ851922 ADF851898:ADF851922 ANB851898:ANB851922 AWX851898:AWX851922 BGT851898:BGT851922 BQP851898:BQP851922 CAL851898:CAL851922 CKH851898:CKH851922 CUD851898:CUD851922 DDZ851898:DDZ851922 DNV851898:DNV851922 DXR851898:DXR851922 EHN851898:EHN851922 ERJ851898:ERJ851922 FBF851898:FBF851922 FLB851898:FLB851922 FUX851898:FUX851922 GET851898:GET851922 GOP851898:GOP851922 GYL851898:GYL851922 HIH851898:HIH851922 HSD851898:HSD851922 IBZ851898:IBZ851922 ILV851898:ILV851922 IVR851898:IVR851922 JFN851898:JFN851922 JPJ851898:JPJ851922 JZF851898:JZF851922 KJB851898:KJB851922 KSX851898:KSX851922 LCT851898:LCT851922 LMP851898:LMP851922 LWL851898:LWL851922 MGH851898:MGH851922 MQD851898:MQD851922 MZZ851898:MZZ851922 NJV851898:NJV851922 NTR851898:NTR851922 ODN851898:ODN851922 ONJ851898:ONJ851922 OXF851898:OXF851922 PHB851898:PHB851922 PQX851898:PQX851922 QAT851898:QAT851922 QKP851898:QKP851922 QUL851898:QUL851922 REH851898:REH851922 ROD851898:ROD851922 RXZ851898:RXZ851922 SHV851898:SHV851922 SRR851898:SRR851922 TBN851898:TBN851922 TLJ851898:TLJ851922 TVF851898:TVF851922 UFB851898:UFB851922 UOX851898:UOX851922 UYT851898:UYT851922 VIP851898:VIP851922 VSL851898:VSL851922 WCH851898:WCH851922 WMD851898:WMD851922 WVZ851898:WVZ851922 R917463:R917487 JN917434:JN917458 TJ917434:TJ917458 ADF917434:ADF917458 ANB917434:ANB917458 AWX917434:AWX917458 BGT917434:BGT917458 BQP917434:BQP917458 CAL917434:CAL917458 CKH917434:CKH917458 CUD917434:CUD917458 DDZ917434:DDZ917458 DNV917434:DNV917458 DXR917434:DXR917458 EHN917434:EHN917458 ERJ917434:ERJ917458 FBF917434:FBF917458 FLB917434:FLB917458 FUX917434:FUX917458 GET917434:GET917458 GOP917434:GOP917458 GYL917434:GYL917458 HIH917434:HIH917458 HSD917434:HSD917458 IBZ917434:IBZ917458 ILV917434:ILV917458 IVR917434:IVR917458 JFN917434:JFN917458 JPJ917434:JPJ917458 JZF917434:JZF917458 KJB917434:KJB917458 KSX917434:KSX917458 LCT917434:LCT917458 LMP917434:LMP917458 LWL917434:LWL917458 MGH917434:MGH917458 MQD917434:MQD917458 MZZ917434:MZZ917458 NJV917434:NJV917458 NTR917434:NTR917458 ODN917434:ODN917458 ONJ917434:ONJ917458 OXF917434:OXF917458 PHB917434:PHB917458 PQX917434:PQX917458 QAT917434:QAT917458 QKP917434:QKP917458 QUL917434:QUL917458 REH917434:REH917458 ROD917434:ROD917458 RXZ917434:RXZ917458 SHV917434:SHV917458 SRR917434:SRR917458 TBN917434:TBN917458 TLJ917434:TLJ917458 TVF917434:TVF917458 UFB917434:UFB917458 UOX917434:UOX917458 UYT917434:UYT917458 VIP917434:VIP917458 VSL917434:VSL917458 WCH917434:WCH917458 WMD917434:WMD917458 WVZ917434:WVZ917458 R982999:R983023 JN982970:JN982994 TJ982970:TJ982994 ADF982970:ADF982994 ANB982970:ANB982994 AWX982970:AWX982994 BGT982970:BGT982994 BQP982970:BQP982994 CAL982970:CAL982994 CKH982970:CKH982994 CUD982970:CUD982994 DDZ982970:DDZ982994 DNV982970:DNV982994 DXR982970:DXR982994 EHN982970:EHN982994 ERJ982970:ERJ982994 FBF982970:FBF982994 FLB982970:FLB982994 FUX982970:FUX982994 GET982970:GET982994 GOP982970:GOP982994 GYL982970:GYL982994 HIH982970:HIH982994 HSD982970:HSD982994 IBZ982970:IBZ982994 ILV982970:ILV982994 IVR982970:IVR982994 JFN982970:JFN982994 JPJ982970:JPJ982994 JZF982970:JZF982994 KJB982970:KJB982994 KSX982970:KSX982994 LCT982970:LCT982994 LMP982970:LMP982994 LWL982970:LWL982994 MGH982970:MGH982994 MQD982970:MQD982994 MZZ982970:MZZ982994 NJV982970:NJV982994 NTR982970:NTR982994 ODN982970:ODN982994 ONJ982970:ONJ982994 OXF982970:OXF982994 PHB982970:PHB982994 PQX982970:PQX982994 QAT982970:QAT982994 QKP982970:QKP982994 QUL982970:QUL982994 REH982970:REH982994 ROD982970:ROD982994 RXZ982970:RXZ982994 SHV982970:SHV982994 SRR982970:SRR982994 TBN982970:TBN982994 TLJ982970:TLJ982994 TVF982970:TVF982994 UFB982970:UFB982994 UOX982970:UOX982994 UYT982970:UYT982994 VIP982970:VIP982994 VSL982970:VSL982994 WCH982970:WCH982994 WMD982970:WMD982994 WVZ982970:WVZ982994 R65495:R65519 WVY13:WVY513 WMC13:WMC513 WCG13:WCG513 VSK13:VSK513 VIO13:VIO513 UYS13:UYS513 UOW13:UOW513 UFA13:UFA513 TVE13:TVE513 TLI13:TLI513 TBM13:TBM513 SRQ13:SRQ513 SHU13:SHU513 RXY13:RXY513 ROC13:ROC513 REG13:REG513 QUK13:QUK513 QKO13:QKO513 QAS13:QAS513 PQW13:PQW513 PHA13:PHA513 OXE13:OXE513 ONI13:ONI513 ODM13:ODM513 NTQ13:NTQ513 NJU13:NJU513 MZY13:MZY513 MQC13:MQC513 MGG13:MGG513 LWK13:LWK513 LMO13:LMO513 LCS13:LCS513 KSW13:KSW513 KJA13:KJA513 JZE13:JZE513 JPI13:JPI513 JFM13:JFM513 IVQ13:IVQ513 ILU13:ILU513 IBY13:IBY513 HSC13:HSC513 HIG13:HIG513 GYK13:GYK513 GOO13:GOO513 GES13:GES513 FUW13:FUW513 FLA13:FLA513 FBE13:FBE513 ERI13:ERI513 EHM13:EHM513 DXQ13:DXQ513 DNU13:DNU513 DDY13:DDY513 CUC13:CUC513 CKG13:CKG513 CAK13:CAK513 BQO13:BQO513 BGS13:BGS513 AWW13:AWW513 ANA13:ANA513 ADE13:ADE513 TI13:TI513 JM13:JM513" xr:uid="{00000000-0002-0000-0E00-000005000000}"/>
    <dataValidation allowBlank="1" showInputMessage="1" showErrorMessage="1" prompt="Enter the number of billable (documented) units/days from daily census. For CBA, CCAD or ICM refer to F3251, for CWP refer to F2213" sqref="JO65466:JO65490 TK65466:TK65490 ADG65466:ADG65490 ANC65466:ANC65490 AWY65466:AWY65490 BGU65466:BGU65490 BQQ65466:BQQ65490 CAM65466:CAM65490 CKI65466:CKI65490 CUE65466:CUE65490 DEA65466:DEA65490 DNW65466:DNW65490 DXS65466:DXS65490 EHO65466:EHO65490 ERK65466:ERK65490 FBG65466:FBG65490 FLC65466:FLC65490 FUY65466:FUY65490 GEU65466:GEU65490 GOQ65466:GOQ65490 GYM65466:GYM65490 HII65466:HII65490 HSE65466:HSE65490 ICA65466:ICA65490 ILW65466:ILW65490 IVS65466:IVS65490 JFO65466:JFO65490 JPK65466:JPK65490 JZG65466:JZG65490 KJC65466:KJC65490 KSY65466:KSY65490 LCU65466:LCU65490 LMQ65466:LMQ65490 LWM65466:LWM65490 MGI65466:MGI65490 MQE65466:MQE65490 NAA65466:NAA65490 NJW65466:NJW65490 NTS65466:NTS65490 ODO65466:ODO65490 ONK65466:ONK65490 OXG65466:OXG65490 PHC65466:PHC65490 PQY65466:PQY65490 QAU65466:QAU65490 QKQ65466:QKQ65490 QUM65466:QUM65490 REI65466:REI65490 ROE65466:ROE65490 RYA65466:RYA65490 SHW65466:SHW65490 SRS65466:SRS65490 TBO65466:TBO65490 TLK65466:TLK65490 TVG65466:TVG65490 UFC65466:UFC65490 UOY65466:UOY65490 UYU65466:UYU65490 VIQ65466:VIQ65490 VSM65466:VSM65490 WCI65466:WCI65490 WME65466:WME65490 WWA65466:WWA65490 S131031:S131055 JO131002:JO131026 TK131002:TK131026 ADG131002:ADG131026 ANC131002:ANC131026 AWY131002:AWY131026 BGU131002:BGU131026 BQQ131002:BQQ131026 CAM131002:CAM131026 CKI131002:CKI131026 CUE131002:CUE131026 DEA131002:DEA131026 DNW131002:DNW131026 DXS131002:DXS131026 EHO131002:EHO131026 ERK131002:ERK131026 FBG131002:FBG131026 FLC131002:FLC131026 FUY131002:FUY131026 GEU131002:GEU131026 GOQ131002:GOQ131026 GYM131002:GYM131026 HII131002:HII131026 HSE131002:HSE131026 ICA131002:ICA131026 ILW131002:ILW131026 IVS131002:IVS131026 JFO131002:JFO131026 JPK131002:JPK131026 JZG131002:JZG131026 KJC131002:KJC131026 KSY131002:KSY131026 LCU131002:LCU131026 LMQ131002:LMQ131026 LWM131002:LWM131026 MGI131002:MGI131026 MQE131002:MQE131026 NAA131002:NAA131026 NJW131002:NJW131026 NTS131002:NTS131026 ODO131002:ODO131026 ONK131002:ONK131026 OXG131002:OXG131026 PHC131002:PHC131026 PQY131002:PQY131026 QAU131002:QAU131026 QKQ131002:QKQ131026 QUM131002:QUM131026 REI131002:REI131026 ROE131002:ROE131026 RYA131002:RYA131026 SHW131002:SHW131026 SRS131002:SRS131026 TBO131002:TBO131026 TLK131002:TLK131026 TVG131002:TVG131026 UFC131002:UFC131026 UOY131002:UOY131026 UYU131002:UYU131026 VIQ131002:VIQ131026 VSM131002:VSM131026 WCI131002:WCI131026 WME131002:WME131026 WWA131002:WWA131026 S196567:S196591 JO196538:JO196562 TK196538:TK196562 ADG196538:ADG196562 ANC196538:ANC196562 AWY196538:AWY196562 BGU196538:BGU196562 BQQ196538:BQQ196562 CAM196538:CAM196562 CKI196538:CKI196562 CUE196538:CUE196562 DEA196538:DEA196562 DNW196538:DNW196562 DXS196538:DXS196562 EHO196538:EHO196562 ERK196538:ERK196562 FBG196538:FBG196562 FLC196538:FLC196562 FUY196538:FUY196562 GEU196538:GEU196562 GOQ196538:GOQ196562 GYM196538:GYM196562 HII196538:HII196562 HSE196538:HSE196562 ICA196538:ICA196562 ILW196538:ILW196562 IVS196538:IVS196562 JFO196538:JFO196562 JPK196538:JPK196562 JZG196538:JZG196562 KJC196538:KJC196562 KSY196538:KSY196562 LCU196538:LCU196562 LMQ196538:LMQ196562 LWM196538:LWM196562 MGI196538:MGI196562 MQE196538:MQE196562 NAA196538:NAA196562 NJW196538:NJW196562 NTS196538:NTS196562 ODO196538:ODO196562 ONK196538:ONK196562 OXG196538:OXG196562 PHC196538:PHC196562 PQY196538:PQY196562 QAU196538:QAU196562 QKQ196538:QKQ196562 QUM196538:QUM196562 REI196538:REI196562 ROE196538:ROE196562 RYA196538:RYA196562 SHW196538:SHW196562 SRS196538:SRS196562 TBO196538:TBO196562 TLK196538:TLK196562 TVG196538:TVG196562 UFC196538:UFC196562 UOY196538:UOY196562 UYU196538:UYU196562 VIQ196538:VIQ196562 VSM196538:VSM196562 WCI196538:WCI196562 WME196538:WME196562 WWA196538:WWA196562 S262103:S262127 JO262074:JO262098 TK262074:TK262098 ADG262074:ADG262098 ANC262074:ANC262098 AWY262074:AWY262098 BGU262074:BGU262098 BQQ262074:BQQ262098 CAM262074:CAM262098 CKI262074:CKI262098 CUE262074:CUE262098 DEA262074:DEA262098 DNW262074:DNW262098 DXS262074:DXS262098 EHO262074:EHO262098 ERK262074:ERK262098 FBG262074:FBG262098 FLC262074:FLC262098 FUY262074:FUY262098 GEU262074:GEU262098 GOQ262074:GOQ262098 GYM262074:GYM262098 HII262074:HII262098 HSE262074:HSE262098 ICA262074:ICA262098 ILW262074:ILW262098 IVS262074:IVS262098 JFO262074:JFO262098 JPK262074:JPK262098 JZG262074:JZG262098 KJC262074:KJC262098 KSY262074:KSY262098 LCU262074:LCU262098 LMQ262074:LMQ262098 LWM262074:LWM262098 MGI262074:MGI262098 MQE262074:MQE262098 NAA262074:NAA262098 NJW262074:NJW262098 NTS262074:NTS262098 ODO262074:ODO262098 ONK262074:ONK262098 OXG262074:OXG262098 PHC262074:PHC262098 PQY262074:PQY262098 QAU262074:QAU262098 QKQ262074:QKQ262098 QUM262074:QUM262098 REI262074:REI262098 ROE262074:ROE262098 RYA262074:RYA262098 SHW262074:SHW262098 SRS262074:SRS262098 TBO262074:TBO262098 TLK262074:TLK262098 TVG262074:TVG262098 UFC262074:UFC262098 UOY262074:UOY262098 UYU262074:UYU262098 VIQ262074:VIQ262098 VSM262074:VSM262098 WCI262074:WCI262098 WME262074:WME262098 WWA262074:WWA262098 S327639:S327663 JO327610:JO327634 TK327610:TK327634 ADG327610:ADG327634 ANC327610:ANC327634 AWY327610:AWY327634 BGU327610:BGU327634 BQQ327610:BQQ327634 CAM327610:CAM327634 CKI327610:CKI327634 CUE327610:CUE327634 DEA327610:DEA327634 DNW327610:DNW327634 DXS327610:DXS327634 EHO327610:EHO327634 ERK327610:ERK327634 FBG327610:FBG327634 FLC327610:FLC327634 FUY327610:FUY327634 GEU327610:GEU327634 GOQ327610:GOQ327634 GYM327610:GYM327634 HII327610:HII327634 HSE327610:HSE327634 ICA327610:ICA327634 ILW327610:ILW327634 IVS327610:IVS327634 JFO327610:JFO327634 JPK327610:JPK327634 JZG327610:JZG327634 KJC327610:KJC327634 KSY327610:KSY327634 LCU327610:LCU327634 LMQ327610:LMQ327634 LWM327610:LWM327634 MGI327610:MGI327634 MQE327610:MQE327634 NAA327610:NAA327634 NJW327610:NJW327634 NTS327610:NTS327634 ODO327610:ODO327634 ONK327610:ONK327634 OXG327610:OXG327634 PHC327610:PHC327634 PQY327610:PQY327634 QAU327610:QAU327634 QKQ327610:QKQ327634 QUM327610:QUM327634 REI327610:REI327634 ROE327610:ROE327634 RYA327610:RYA327634 SHW327610:SHW327634 SRS327610:SRS327634 TBO327610:TBO327634 TLK327610:TLK327634 TVG327610:TVG327634 UFC327610:UFC327634 UOY327610:UOY327634 UYU327610:UYU327634 VIQ327610:VIQ327634 VSM327610:VSM327634 WCI327610:WCI327634 WME327610:WME327634 WWA327610:WWA327634 S393175:S393199 JO393146:JO393170 TK393146:TK393170 ADG393146:ADG393170 ANC393146:ANC393170 AWY393146:AWY393170 BGU393146:BGU393170 BQQ393146:BQQ393170 CAM393146:CAM393170 CKI393146:CKI393170 CUE393146:CUE393170 DEA393146:DEA393170 DNW393146:DNW393170 DXS393146:DXS393170 EHO393146:EHO393170 ERK393146:ERK393170 FBG393146:FBG393170 FLC393146:FLC393170 FUY393146:FUY393170 GEU393146:GEU393170 GOQ393146:GOQ393170 GYM393146:GYM393170 HII393146:HII393170 HSE393146:HSE393170 ICA393146:ICA393170 ILW393146:ILW393170 IVS393146:IVS393170 JFO393146:JFO393170 JPK393146:JPK393170 JZG393146:JZG393170 KJC393146:KJC393170 KSY393146:KSY393170 LCU393146:LCU393170 LMQ393146:LMQ393170 LWM393146:LWM393170 MGI393146:MGI393170 MQE393146:MQE393170 NAA393146:NAA393170 NJW393146:NJW393170 NTS393146:NTS393170 ODO393146:ODO393170 ONK393146:ONK393170 OXG393146:OXG393170 PHC393146:PHC393170 PQY393146:PQY393170 QAU393146:QAU393170 QKQ393146:QKQ393170 QUM393146:QUM393170 REI393146:REI393170 ROE393146:ROE393170 RYA393146:RYA393170 SHW393146:SHW393170 SRS393146:SRS393170 TBO393146:TBO393170 TLK393146:TLK393170 TVG393146:TVG393170 UFC393146:UFC393170 UOY393146:UOY393170 UYU393146:UYU393170 VIQ393146:VIQ393170 VSM393146:VSM393170 WCI393146:WCI393170 WME393146:WME393170 WWA393146:WWA393170 S458711:S458735 JO458682:JO458706 TK458682:TK458706 ADG458682:ADG458706 ANC458682:ANC458706 AWY458682:AWY458706 BGU458682:BGU458706 BQQ458682:BQQ458706 CAM458682:CAM458706 CKI458682:CKI458706 CUE458682:CUE458706 DEA458682:DEA458706 DNW458682:DNW458706 DXS458682:DXS458706 EHO458682:EHO458706 ERK458682:ERK458706 FBG458682:FBG458706 FLC458682:FLC458706 FUY458682:FUY458706 GEU458682:GEU458706 GOQ458682:GOQ458706 GYM458682:GYM458706 HII458682:HII458706 HSE458682:HSE458706 ICA458682:ICA458706 ILW458682:ILW458706 IVS458682:IVS458706 JFO458682:JFO458706 JPK458682:JPK458706 JZG458682:JZG458706 KJC458682:KJC458706 KSY458682:KSY458706 LCU458682:LCU458706 LMQ458682:LMQ458706 LWM458682:LWM458706 MGI458682:MGI458706 MQE458682:MQE458706 NAA458682:NAA458706 NJW458682:NJW458706 NTS458682:NTS458706 ODO458682:ODO458706 ONK458682:ONK458706 OXG458682:OXG458706 PHC458682:PHC458706 PQY458682:PQY458706 QAU458682:QAU458706 QKQ458682:QKQ458706 QUM458682:QUM458706 REI458682:REI458706 ROE458682:ROE458706 RYA458682:RYA458706 SHW458682:SHW458706 SRS458682:SRS458706 TBO458682:TBO458706 TLK458682:TLK458706 TVG458682:TVG458706 UFC458682:UFC458706 UOY458682:UOY458706 UYU458682:UYU458706 VIQ458682:VIQ458706 VSM458682:VSM458706 WCI458682:WCI458706 WME458682:WME458706 WWA458682:WWA458706 S524247:S524271 JO524218:JO524242 TK524218:TK524242 ADG524218:ADG524242 ANC524218:ANC524242 AWY524218:AWY524242 BGU524218:BGU524242 BQQ524218:BQQ524242 CAM524218:CAM524242 CKI524218:CKI524242 CUE524218:CUE524242 DEA524218:DEA524242 DNW524218:DNW524242 DXS524218:DXS524242 EHO524218:EHO524242 ERK524218:ERK524242 FBG524218:FBG524242 FLC524218:FLC524242 FUY524218:FUY524242 GEU524218:GEU524242 GOQ524218:GOQ524242 GYM524218:GYM524242 HII524218:HII524242 HSE524218:HSE524242 ICA524218:ICA524242 ILW524218:ILW524242 IVS524218:IVS524242 JFO524218:JFO524242 JPK524218:JPK524242 JZG524218:JZG524242 KJC524218:KJC524242 KSY524218:KSY524242 LCU524218:LCU524242 LMQ524218:LMQ524242 LWM524218:LWM524242 MGI524218:MGI524242 MQE524218:MQE524242 NAA524218:NAA524242 NJW524218:NJW524242 NTS524218:NTS524242 ODO524218:ODO524242 ONK524218:ONK524242 OXG524218:OXG524242 PHC524218:PHC524242 PQY524218:PQY524242 QAU524218:QAU524242 QKQ524218:QKQ524242 QUM524218:QUM524242 REI524218:REI524242 ROE524218:ROE524242 RYA524218:RYA524242 SHW524218:SHW524242 SRS524218:SRS524242 TBO524218:TBO524242 TLK524218:TLK524242 TVG524218:TVG524242 UFC524218:UFC524242 UOY524218:UOY524242 UYU524218:UYU524242 VIQ524218:VIQ524242 VSM524218:VSM524242 WCI524218:WCI524242 WME524218:WME524242 WWA524218:WWA524242 S589783:S589807 JO589754:JO589778 TK589754:TK589778 ADG589754:ADG589778 ANC589754:ANC589778 AWY589754:AWY589778 BGU589754:BGU589778 BQQ589754:BQQ589778 CAM589754:CAM589778 CKI589754:CKI589778 CUE589754:CUE589778 DEA589754:DEA589778 DNW589754:DNW589778 DXS589754:DXS589778 EHO589754:EHO589778 ERK589754:ERK589778 FBG589754:FBG589778 FLC589754:FLC589778 FUY589754:FUY589778 GEU589754:GEU589778 GOQ589754:GOQ589778 GYM589754:GYM589778 HII589754:HII589778 HSE589754:HSE589778 ICA589754:ICA589778 ILW589754:ILW589778 IVS589754:IVS589778 JFO589754:JFO589778 JPK589754:JPK589778 JZG589754:JZG589778 KJC589754:KJC589778 KSY589754:KSY589778 LCU589754:LCU589778 LMQ589754:LMQ589778 LWM589754:LWM589778 MGI589754:MGI589778 MQE589754:MQE589778 NAA589754:NAA589778 NJW589754:NJW589778 NTS589754:NTS589778 ODO589754:ODO589778 ONK589754:ONK589778 OXG589754:OXG589778 PHC589754:PHC589778 PQY589754:PQY589778 QAU589754:QAU589778 QKQ589754:QKQ589778 QUM589754:QUM589778 REI589754:REI589778 ROE589754:ROE589778 RYA589754:RYA589778 SHW589754:SHW589778 SRS589754:SRS589778 TBO589754:TBO589778 TLK589754:TLK589778 TVG589754:TVG589778 UFC589754:UFC589778 UOY589754:UOY589778 UYU589754:UYU589778 VIQ589754:VIQ589778 VSM589754:VSM589778 WCI589754:WCI589778 WME589754:WME589778 WWA589754:WWA589778 S655319:S655343 JO655290:JO655314 TK655290:TK655314 ADG655290:ADG655314 ANC655290:ANC655314 AWY655290:AWY655314 BGU655290:BGU655314 BQQ655290:BQQ655314 CAM655290:CAM655314 CKI655290:CKI655314 CUE655290:CUE655314 DEA655290:DEA655314 DNW655290:DNW655314 DXS655290:DXS655314 EHO655290:EHO655314 ERK655290:ERK655314 FBG655290:FBG655314 FLC655290:FLC655314 FUY655290:FUY655314 GEU655290:GEU655314 GOQ655290:GOQ655314 GYM655290:GYM655314 HII655290:HII655314 HSE655290:HSE655314 ICA655290:ICA655314 ILW655290:ILW655314 IVS655290:IVS655314 JFO655290:JFO655314 JPK655290:JPK655314 JZG655290:JZG655314 KJC655290:KJC655314 KSY655290:KSY655314 LCU655290:LCU655314 LMQ655290:LMQ655314 LWM655290:LWM655314 MGI655290:MGI655314 MQE655290:MQE655314 NAA655290:NAA655314 NJW655290:NJW655314 NTS655290:NTS655314 ODO655290:ODO655314 ONK655290:ONK655314 OXG655290:OXG655314 PHC655290:PHC655314 PQY655290:PQY655314 QAU655290:QAU655314 QKQ655290:QKQ655314 QUM655290:QUM655314 REI655290:REI655314 ROE655290:ROE655314 RYA655290:RYA655314 SHW655290:SHW655314 SRS655290:SRS655314 TBO655290:TBO655314 TLK655290:TLK655314 TVG655290:TVG655314 UFC655290:UFC655314 UOY655290:UOY655314 UYU655290:UYU655314 VIQ655290:VIQ655314 VSM655290:VSM655314 WCI655290:WCI655314 WME655290:WME655314 WWA655290:WWA655314 S720855:S720879 JO720826:JO720850 TK720826:TK720850 ADG720826:ADG720850 ANC720826:ANC720850 AWY720826:AWY720850 BGU720826:BGU720850 BQQ720826:BQQ720850 CAM720826:CAM720850 CKI720826:CKI720850 CUE720826:CUE720850 DEA720826:DEA720850 DNW720826:DNW720850 DXS720826:DXS720850 EHO720826:EHO720850 ERK720826:ERK720850 FBG720826:FBG720850 FLC720826:FLC720850 FUY720826:FUY720850 GEU720826:GEU720850 GOQ720826:GOQ720850 GYM720826:GYM720850 HII720826:HII720850 HSE720826:HSE720850 ICA720826:ICA720850 ILW720826:ILW720850 IVS720826:IVS720850 JFO720826:JFO720850 JPK720826:JPK720850 JZG720826:JZG720850 KJC720826:KJC720850 KSY720826:KSY720850 LCU720826:LCU720850 LMQ720826:LMQ720850 LWM720826:LWM720850 MGI720826:MGI720850 MQE720826:MQE720850 NAA720826:NAA720850 NJW720826:NJW720850 NTS720826:NTS720850 ODO720826:ODO720850 ONK720826:ONK720850 OXG720826:OXG720850 PHC720826:PHC720850 PQY720826:PQY720850 QAU720826:QAU720850 QKQ720826:QKQ720850 QUM720826:QUM720850 REI720826:REI720850 ROE720826:ROE720850 RYA720826:RYA720850 SHW720826:SHW720850 SRS720826:SRS720850 TBO720826:TBO720850 TLK720826:TLK720850 TVG720826:TVG720850 UFC720826:UFC720850 UOY720826:UOY720850 UYU720826:UYU720850 VIQ720826:VIQ720850 VSM720826:VSM720850 WCI720826:WCI720850 WME720826:WME720850 WWA720826:WWA720850 S786391:S786415 JO786362:JO786386 TK786362:TK786386 ADG786362:ADG786386 ANC786362:ANC786386 AWY786362:AWY786386 BGU786362:BGU786386 BQQ786362:BQQ786386 CAM786362:CAM786386 CKI786362:CKI786386 CUE786362:CUE786386 DEA786362:DEA786386 DNW786362:DNW786386 DXS786362:DXS786386 EHO786362:EHO786386 ERK786362:ERK786386 FBG786362:FBG786386 FLC786362:FLC786386 FUY786362:FUY786386 GEU786362:GEU786386 GOQ786362:GOQ786386 GYM786362:GYM786386 HII786362:HII786386 HSE786362:HSE786386 ICA786362:ICA786386 ILW786362:ILW786386 IVS786362:IVS786386 JFO786362:JFO786386 JPK786362:JPK786386 JZG786362:JZG786386 KJC786362:KJC786386 KSY786362:KSY786386 LCU786362:LCU786386 LMQ786362:LMQ786386 LWM786362:LWM786386 MGI786362:MGI786386 MQE786362:MQE786386 NAA786362:NAA786386 NJW786362:NJW786386 NTS786362:NTS786386 ODO786362:ODO786386 ONK786362:ONK786386 OXG786362:OXG786386 PHC786362:PHC786386 PQY786362:PQY786386 QAU786362:QAU786386 QKQ786362:QKQ786386 QUM786362:QUM786386 REI786362:REI786386 ROE786362:ROE786386 RYA786362:RYA786386 SHW786362:SHW786386 SRS786362:SRS786386 TBO786362:TBO786386 TLK786362:TLK786386 TVG786362:TVG786386 UFC786362:UFC786386 UOY786362:UOY786386 UYU786362:UYU786386 VIQ786362:VIQ786386 VSM786362:VSM786386 WCI786362:WCI786386 WME786362:WME786386 WWA786362:WWA786386 S851927:S851951 JO851898:JO851922 TK851898:TK851922 ADG851898:ADG851922 ANC851898:ANC851922 AWY851898:AWY851922 BGU851898:BGU851922 BQQ851898:BQQ851922 CAM851898:CAM851922 CKI851898:CKI851922 CUE851898:CUE851922 DEA851898:DEA851922 DNW851898:DNW851922 DXS851898:DXS851922 EHO851898:EHO851922 ERK851898:ERK851922 FBG851898:FBG851922 FLC851898:FLC851922 FUY851898:FUY851922 GEU851898:GEU851922 GOQ851898:GOQ851922 GYM851898:GYM851922 HII851898:HII851922 HSE851898:HSE851922 ICA851898:ICA851922 ILW851898:ILW851922 IVS851898:IVS851922 JFO851898:JFO851922 JPK851898:JPK851922 JZG851898:JZG851922 KJC851898:KJC851922 KSY851898:KSY851922 LCU851898:LCU851922 LMQ851898:LMQ851922 LWM851898:LWM851922 MGI851898:MGI851922 MQE851898:MQE851922 NAA851898:NAA851922 NJW851898:NJW851922 NTS851898:NTS851922 ODO851898:ODO851922 ONK851898:ONK851922 OXG851898:OXG851922 PHC851898:PHC851922 PQY851898:PQY851922 QAU851898:QAU851922 QKQ851898:QKQ851922 QUM851898:QUM851922 REI851898:REI851922 ROE851898:ROE851922 RYA851898:RYA851922 SHW851898:SHW851922 SRS851898:SRS851922 TBO851898:TBO851922 TLK851898:TLK851922 TVG851898:TVG851922 UFC851898:UFC851922 UOY851898:UOY851922 UYU851898:UYU851922 VIQ851898:VIQ851922 VSM851898:VSM851922 WCI851898:WCI851922 WME851898:WME851922 WWA851898:WWA851922 S917463:S917487 JO917434:JO917458 TK917434:TK917458 ADG917434:ADG917458 ANC917434:ANC917458 AWY917434:AWY917458 BGU917434:BGU917458 BQQ917434:BQQ917458 CAM917434:CAM917458 CKI917434:CKI917458 CUE917434:CUE917458 DEA917434:DEA917458 DNW917434:DNW917458 DXS917434:DXS917458 EHO917434:EHO917458 ERK917434:ERK917458 FBG917434:FBG917458 FLC917434:FLC917458 FUY917434:FUY917458 GEU917434:GEU917458 GOQ917434:GOQ917458 GYM917434:GYM917458 HII917434:HII917458 HSE917434:HSE917458 ICA917434:ICA917458 ILW917434:ILW917458 IVS917434:IVS917458 JFO917434:JFO917458 JPK917434:JPK917458 JZG917434:JZG917458 KJC917434:KJC917458 KSY917434:KSY917458 LCU917434:LCU917458 LMQ917434:LMQ917458 LWM917434:LWM917458 MGI917434:MGI917458 MQE917434:MQE917458 NAA917434:NAA917458 NJW917434:NJW917458 NTS917434:NTS917458 ODO917434:ODO917458 ONK917434:ONK917458 OXG917434:OXG917458 PHC917434:PHC917458 PQY917434:PQY917458 QAU917434:QAU917458 QKQ917434:QKQ917458 QUM917434:QUM917458 REI917434:REI917458 ROE917434:ROE917458 RYA917434:RYA917458 SHW917434:SHW917458 SRS917434:SRS917458 TBO917434:TBO917458 TLK917434:TLK917458 TVG917434:TVG917458 UFC917434:UFC917458 UOY917434:UOY917458 UYU917434:UYU917458 VIQ917434:VIQ917458 VSM917434:VSM917458 WCI917434:WCI917458 WME917434:WME917458 WWA917434:WWA917458 S982999:S983023 JO982970:JO982994 TK982970:TK982994 ADG982970:ADG982994 ANC982970:ANC982994 AWY982970:AWY982994 BGU982970:BGU982994 BQQ982970:BQQ982994 CAM982970:CAM982994 CKI982970:CKI982994 CUE982970:CUE982994 DEA982970:DEA982994 DNW982970:DNW982994 DXS982970:DXS982994 EHO982970:EHO982994 ERK982970:ERK982994 FBG982970:FBG982994 FLC982970:FLC982994 FUY982970:FUY982994 GEU982970:GEU982994 GOQ982970:GOQ982994 GYM982970:GYM982994 HII982970:HII982994 HSE982970:HSE982994 ICA982970:ICA982994 ILW982970:ILW982994 IVS982970:IVS982994 JFO982970:JFO982994 JPK982970:JPK982994 JZG982970:JZG982994 KJC982970:KJC982994 KSY982970:KSY982994 LCU982970:LCU982994 LMQ982970:LMQ982994 LWM982970:LWM982994 MGI982970:MGI982994 MQE982970:MQE982994 NAA982970:NAA982994 NJW982970:NJW982994 NTS982970:NTS982994 ODO982970:ODO982994 ONK982970:ONK982994 OXG982970:OXG982994 PHC982970:PHC982994 PQY982970:PQY982994 QAU982970:QAU982994 QKQ982970:QKQ982994 QUM982970:QUM982994 REI982970:REI982994 ROE982970:ROE982994 RYA982970:RYA982994 SHW982970:SHW982994 SRS982970:SRS982994 TBO982970:TBO982994 TLK982970:TLK982994 TVG982970:TVG982994 UFC982970:UFC982994 UOY982970:UOY982994 UYU982970:UYU982994 VIQ982970:VIQ982994 VSM982970:VSM982994 WCI982970:WCI982994 WME982970:WME982994 WWA982970:WWA982994 S65495:S65519 WVZ13:WVZ513 WMD13:WMD513 WCH13:WCH513 VSL13:VSL513 VIP13:VIP513 UYT13:UYT513 UOX13:UOX513 UFB13:UFB513 TVF13:TVF513 TLJ13:TLJ513 TBN13:TBN513 SRR13:SRR513 SHV13:SHV513 RXZ13:RXZ513 ROD13:ROD513 REH13:REH513 QUL13:QUL513 QKP13:QKP513 QAT13:QAT513 PQX13:PQX513 PHB13:PHB513 OXF13:OXF513 ONJ13:ONJ513 ODN13:ODN513 NTR13:NTR513 NJV13:NJV513 MZZ13:MZZ513 MQD13:MQD513 MGH13:MGH513 LWL13:LWL513 LMP13:LMP513 LCT13:LCT513 KSX13:KSX513 KJB13:KJB513 JZF13:JZF513 JPJ13:JPJ513 JFN13:JFN513 IVR13:IVR513 ILV13:ILV513 IBZ13:IBZ513 HSD13:HSD513 HIH13:HIH513 GYL13:GYL513 GOP13:GOP513 GET13:GET513 FUX13:FUX513 FLB13:FLB513 FBF13:FBF513 ERJ13:ERJ513 EHN13:EHN513 DXR13:DXR513 DNV13:DNV513 DDZ13:DDZ513 CUD13:CUD513 CKH13:CKH513 CAL13:CAL513 BQP13:BQP513 BGT13:BGT513 AWX13:AWX513 ANB13:ANB513 ADF13:ADF513 TJ13:TJ513 JN13:JN513" xr:uid="{00000000-0002-0000-0E00-000006000000}"/>
    <dataValidation allowBlank="1" showInputMessage="1" showErrorMessage="1" prompt="Refer to Individual Work Paper, VII.2 Billing, if all of the elements within the individual's authorized residential setting codes are met enter the gross rate. If all of the elements are not met enter &quot;0&quot; in column &quot;P&quot; " sqref="JP65467:JP65490 TL65467:TL65490 ADH65467:ADH65490 AND65467:AND65490 AWZ65467:AWZ65490 BGV65467:BGV65490 BQR65467:BQR65490 CAN65467:CAN65490 CKJ65467:CKJ65490 CUF65467:CUF65490 DEB65467:DEB65490 DNX65467:DNX65490 DXT65467:DXT65490 EHP65467:EHP65490 ERL65467:ERL65490 FBH65467:FBH65490 FLD65467:FLD65490 FUZ65467:FUZ65490 GEV65467:GEV65490 GOR65467:GOR65490 GYN65467:GYN65490 HIJ65467:HIJ65490 HSF65467:HSF65490 ICB65467:ICB65490 ILX65467:ILX65490 IVT65467:IVT65490 JFP65467:JFP65490 JPL65467:JPL65490 JZH65467:JZH65490 KJD65467:KJD65490 KSZ65467:KSZ65490 LCV65467:LCV65490 LMR65467:LMR65490 LWN65467:LWN65490 MGJ65467:MGJ65490 MQF65467:MQF65490 NAB65467:NAB65490 NJX65467:NJX65490 NTT65467:NTT65490 ODP65467:ODP65490 ONL65467:ONL65490 OXH65467:OXH65490 PHD65467:PHD65490 PQZ65467:PQZ65490 QAV65467:QAV65490 QKR65467:QKR65490 QUN65467:QUN65490 REJ65467:REJ65490 ROF65467:ROF65490 RYB65467:RYB65490 SHX65467:SHX65490 SRT65467:SRT65490 TBP65467:TBP65490 TLL65467:TLL65490 TVH65467:TVH65490 UFD65467:UFD65490 UOZ65467:UOZ65490 UYV65467:UYV65490 VIR65467:VIR65490 VSN65467:VSN65490 WCJ65467:WCJ65490 WMF65467:WMF65490 WWB65467:WWB65490 T131032:T131055 JP131003:JP131026 TL131003:TL131026 ADH131003:ADH131026 AND131003:AND131026 AWZ131003:AWZ131026 BGV131003:BGV131026 BQR131003:BQR131026 CAN131003:CAN131026 CKJ131003:CKJ131026 CUF131003:CUF131026 DEB131003:DEB131026 DNX131003:DNX131026 DXT131003:DXT131026 EHP131003:EHP131026 ERL131003:ERL131026 FBH131003:FBH131026 FLD131003:FLD131026 FUZ131003:FUZ131026 GEV131003:GEV131026 GOR131003:GOR131026 GYN131003:GYN131026 HIJ131003:HIJ131026 HSF131003:HSF131026 ICB131003:ICB131026 ILX131003:ILX131026 IVT131003:IVT131026 JFP131003:JFP131026 JPL131003:JPL131026 JZH131003:JZH131026 KJD131003:KJD131026 KSZ131003:KSZ131026 LCV131003:LCV131026 LMR131003:LMR131026 LWN131003:LWN131026 MGJ131003:MGJ131026 MQF131003:MQF131026 NAB131003:NAB131026 NJX131003:NJX131026 NTT131003:NTT131026 ODP131003:ODP131026 ONL131003:ONL131026 OXH131003:OXH131026 PHD131003:PHD131026 PQZ131003:PQZ131026 QAV131003:QAV131026 QKR131003:QKR131026 QUN131003:QUN131026 REJ131003:REJ131026 ROF131003:ROF131026 RYB131003:RYB131026 SHX131003:SHX131026 SRT131003:SRT131026 TBP131003:TBP131026 TLL131003:TLL131026 TVH131003:TVH131026 UFD131003:UFD131026 UOZ131003:UOZ131026 UYV131003:UYV131026 VIR131003:VIR131026 VSN131003:VSN131026 WCJ131003:WCJ131026 WMF131003:WMF131026 WWB131003:WWB131026 T196568:T196591 JP196539:JP196562 TL196539:TL196562 ADH196539:ADH196562 AND196539:AND196562 AWZ196539:AWZ196562 BGV196539:BGV196562 BQR196539:BQR196562 CAN196539:CAN196562 CKJ196539:CKJ196562 CUF196539:CUF196562 DEB196539:DEB196562 DNX196539:DNX196562 DXT196539:DXT196562 EHP196539:EHP196562 ERL196539:ERL196562 FBH196539:FBH196562 FLD196539:FLD196562 FUZ196539:FUZ196562 GEV196539:GEV196562 GOR196539:GOR196562 GYN196539:GYN196562 HIJ196539:HIJ196562 HSF196539:HSF196562 ICB196539:ICB196562 ILX196539:ILX196562 IVT196539:IVT196562 JFP196539:JFP196562 JPL196539:JPL196562 JZH196539:JZH196562 KJD196539:KJD196562 KSZ196539:KSZ196562 LCV196539:LCV196562 LMR196539:LMR196562 LWN196539:LWN196562 MGJ196539:MGJ196562 MQF196539:MQF196562 NAB196539:NAB196562 NJX196539:NJX196562 NTT196539:NTT196562 ODP196539:ODP196562 ONL196539:ONL196562 OXH196539:OXH196562 PHD196539:PHD196562 PQZ196539:PQZ196562 QAV196539:QAV196562 QKR196539:QKR196562 QUN196539:QUN196562 REJ196539:REJ196562 ROF196539:ROF196562 RYB196539:RYB196562 SHX196539:SHX196562 SRT196539:SRT196562 TBP196539:TBP196562 TLL196539:TLL196562 TVH196539:TVH196562 UFD196539:UFD196562 UOZ196539:UOZ196562 UYV196539:UYV196562 VIR196539:VIR196562 VSN196539:VSN196562 WCJ196539:WCJ196562 WMF196539:WMF196562 WWB196539:WWB196562 T262104:T262127 JP262075:JP262098 TL262075:TL262098 ADH262075:ADH262098 AND262075:AND262098 AWZ262075:AWZ262098 BGV262075:BGV262098 BQR262075:BQR262098 CAN262075:CAN262098 CKJ262075:CKJ262098 CUF262075:CUF262098 DEB262075:DEB262098 DNX262075:DNX262098 DXT262075:DXT262098 EHP262075:EHP262098 ERL262075:ERL262098 FBH262075:FBH262098 FLD262075:FLD262098 FUZ262075:FUZ262098 GEV262075:GEV262098 GOR262075:GOR262098 GYN262075:GYN262098 HIJ262075:HIJ262098 HSF262075:HSF262098 ICB262075:ICB262098 ILX262075:ILX262098 IVT262075:IVT262098 JFP262075:JFP262098 JPL262075:JPL262098 JZH262075:JZH262098 KJD262075:KJD262098 KSZ262075:KSZ262098 LCV262075:LCV262098 LMR262075:LMR262098 LWN262075:LWN262098 MGJ262075:MGJ262098 MQF262075:MQF262098 NAB262075:NAB262098 NJX262075:NJX262098 NTT262075:NTT262098 ODP262075:ODP262098 ONL262075:ONL262098 OXH262075:OXH262098 PHD262075:PHD262098 PQZ262075:PQZ262098 QAV262075:QAV262098 QKR262075:QKR262098 QUN262075:QUN262098 REJ262075:REJ262098 ROF262075:ROF262098 RYB262075:RYB262098 SHX262075:SHX262098 SRT262075:SRT262098 TBP262075:TBP262098 TLL262075:TLL262098 TVH262075:TVH262098 UFD262075:UFD262098 UOZ262075:UOZ262098 UYV262075:UYV262098 VIR262075:VIR262098 VSN262075:VSN262098 WCJ262075:WCJ262098 WMF262075:WMF262098 WWB262075:WWB262098 T327640:T327663 JP327611:JP327634 TL327611:TL327634 ADH327611:ADH327634 AND327611:AND327634 AWZ327611:AWZ327634 BGV327611:BGV327634 BQR327611:BQR327634 CAN327611:CAN327634 CKJ327611:CKJ327634 CUF327611:CUF327634 DEB327611:DEB327634 DNX327611:DNX327634 DXT327611:DXT327634 EHP327611:EHP327634 ERL327611:ERL327634 FBH327611:FBH327634 FLD327611:FLD327634 FUZ327611:FUZ327634 GEV327611:GEV327634 GOR327611:GOR327634 GYN327611:GYN327634 HIJ327611:HIJ327634 HSF327611:HSF327634 ICB327611:ICB327634 ILX327611:ILX327634 IVT327611:IVT327634 JFP327611:JFP327634 JPL327611:JPL327634 JZH327611:JZH327634 KJD327611:KJD327634 KSZ327611:KSZ327634 LCV327611:LCV327634 LMR327611:LMR327634 LWN327611:LWN327634 MGJ327611:MGJ327634 MQF327611:MQF327634 NAB327611:NAB327634 NJX327611:NJX327634 NTT327611:NTT327634 ODP327611:ODP327634 ONL327611:ONL327634 OXH327611:OXH327634 PHD327611:PHD327634 PQZ327611:PQZ327634 QAV327611:QAV327634 QKR327611:QKR327634 QUN327611:QUN327634 REJ327611:REJ327634 ROF327611:ROF327634 RYB327611:RYB327634 SHX327611:SHX327634 SRT327611:SRT327634 TBP327611:TBP327634 TLL327611:TLL327634 TVH327611:TVH327634 UFD327611:UFD327634 UOZ327611:UOZ327634 UYV327611:UYV327634 VIR327611:VIR327634 VSN327611:VSN327634 WCJ327611:WCJ327634 WMF327611:WMF327634 WWB327611:WWB327634 T393176:T393199 JP393147:JP393170 TL393147:TL393170 ADH393147:ADH393170 AND393147:AND393170 AWZ393147:AWZ393170 BGV393147:BGV393170 BQR393147:BQR393170 CAN393147:CAN393170 CKJ393147:CKJ393170 CUF393147:CUF393170 DEB393147:DEB393170 DNX393147:DNX393170 DXT393147:DXT393170 EHP393147:EHP393170 ERL393147:ERL393170 FBH393147:FBH393170 FLD393147:FLD393170 FUZ393147:FUZ393170 GEV393147:GEV393170 GOR393147:GOR393170 GYN393147:GYN393170 HIJ393147:HIJ393170 HSF393147:HSF393170 ICB393147:ICB393170 ILX393147:ILX393170 IVT393147:IVT393170 JFP393147:JFP393170 JPL393147:JPL393170 JZH393147:JZH393170 KJD393147:KJD393170 KSZ393147:KSZ393170 LCV393147:LCV393170 LMR393147:LMR393170 LWN393147:LWN393170 MGJ393147:MGJ393170 MQF393147:MQF393170 NAB393147:NAB393170 NJX393147:NJX393170 NTT393147:NTT393170 ODP393147:ODP393170 ONL393147:ONL393170 OXH393147:OXH393170 PHD393147:PHD393170 PQZ393147:PQZ393170 QAV393147:QAV393170 QKR393147:QKR393170 QUN393147:QUN393170 REJ393147:REJ393170 ROF393147:ROF393170 RYB393147:RYB393170 SHX393147:SHX393170 SRT393147:SRT393170 TBP393147:TBP393170 TLL393147:TLL393170 TVH393147:TVH393170 UFD393147:UFD393170 UOZ393147:UOZ393170 UYV393147:UYV393170 VIR393147:VIR393170 VSN393147:VSN393170 WCJ393147:WCJ393170 WMF393147:WMF393170 WWB393147:WWB393170 T458712:T458735 JP458683:JP458706 TL458683:TL458706 ADH458683:ADH458706 AND458683:AND458706 AWZ458683:AWZ458706 BGV458683:BGV458706 BQR458683:BQR458706 CAN458683:CAN458706 CKJ458683:CKJ458706 CUF458683:CUF458706 DEB458683:DEB458706 DNX458683:DNX458706 DXT458683:DXT458706 EHP458683:EHP458706 ERL458683:ERL458706 FBH458683:FBH458706 FLD458683:FLD458706 FUZ458683:FUZ458706 GEV458683:GEV458706 GOR458683:GOR458706 GYN458683:GYN458706 HIJ458683:HIJ458706 HSF458683:HSF458706 ICB458683:ICB458706 ILX458683:ILX458706 IVT458683:IVT458706 JFP458683:JFP458706 JPL458683:JPL458706 JZH458683:JZH458706 KJD458683:KJD458706 KSZ458683:KSZ458706 LCV458683:LCV458706 LMR458683:LMR458706 LWN458683:LWN458706 MGJ458683:MGJ458706 MQF458683:MQF458706 NAB458683:NAB458706 NJX458683:NJX458706 NTT458683:NTT458706 ODP458683:ODP458706 ONL458683:ONL458706 OXH458683:OXH458706 PHD458683:PHD458706 PQZ458683:PQZ458706 QAV458683:QAV458706 QKR458683:QKR458706 QUN458683:QUN458706 REJ458683:REJ458706 ROF458683:ROF458706 RYB458683:RYB458706 SHX458683:SHX458706 SRT458683:SRT458706 TBP458683:TBP458706 TLL458683:TLL458706 TVH458683:TVH458706 UFD458683:UFD458706 UOZ458683:UOZ458706 UYV458683:UYV458706 VIR458683:VIR458706 VSN458683:VSN458706 WCJ458683:WCJ458706 WMF458683:WMF458706 WWB458683:WWB458706 T524248:T524271 JP524219:JP524242 TL524219:TL524242 ADH524219:ADH524242 AND524219:AND524242 AWZ524219:AWZ524242 BGV524219:BGV524242 BQR524219:BQR524242 CAN524219:CAN524242 CKJ524219:CKJ524242 CUF524219:CUF524242 DEB524219:DEB524242 DNX524219:DNX524242 DXT524219:DXT524242 EHP524219:EHP524242 ERL524219:ERL524242 FBH524219:FBH524242 FLD524219:FLD524242 FUZ524219:FUZ524242 GEV524219:GEV524242 GOR524219:GOR524242 GYN524219:GYN524242 HIJ524219:HIJ524242 HSF524219:HSF524242 ICB524219:ICB524242 ILX524219:ILX524242 IVT524219:IVT524242 JFP524219:JFP524242 JPL524219:JPL524242 JZH524219:JZH524242 KJD524219:KJD524242 KSZ524219:KSZ524242 LCV524219:LCV524242 LMR524219:LMR524242 LWN524219:LWN524242 MGJ524219:MGJ524242 MQF524219:MQF524242 NAB524219:NAB524242 NJX524219:NJX524242 NTT524219:NTT524242 ODP524219:ODP524242 ONL524219:ONL524242 OXH524219:OXH524242 PHD524219:PHD524242 PQZ524219:PQZ524242 QAV524219:QAV524242 QKR524219:QKR524242 QUN524219:QUN524242 REJ524219:REJ524242 ROF524219:ROF524242 RYB524219:RYB524242 SHX524219:SHX524242 SRT524219:SRT524242 TBP524219:TBP524242 TLL524219:TLL524242 TVH524219:TVH524242 UFD524219:UFD524242 UOZ524219:UOZ524242 UYV524219:UYV524242 VIR524219:VIR524242 VSN524219:VSN524242 WCJ524219:WCJ524242 WMF524219:WMF524242 WWB524219:WWB524242 T589784:T589807 JP589755:JP589778 TL589755:TL589778 ADH589755:ADH589778 AND589755:AND589778 AWZ589755:AWZ589778 BGV589755:BGV589778 BQR589755:BQR589778 CAN589755:CAN589778 CKJ589755:CKJ589778 CUF589755:CUF589778 DEB589755:DEB589778 DNX589755:DNX589778 DXT589755:DXT589778 EHP589755:EHP589778 ERL589755:ERL589778 FBH589755:FBH589778 FLD589755:FLD589778 FUZ589755:FUZ589778 GEV589755:GEV589778 GOR589755:GOR589778 GYN589755:GYN589778 HIJ589755:HIJ589778 HSF589755:HSF589778 ICB589755:ICB589778 ILX589755:ILX589778 IVT589755:IVT589778 JFP589755:JFP589778 JPL589755:JPL589778 JZH589755:JZH589778 KJD589755:KJD589778 KSZ589755:KSZ589778 LCV589755:LCV589778 LMR589755:LMR589778 LWN589755:LWN589778 MGJ589755:MGJ589778 MQF589755:MQF589778 NAB589755:NAB589778 NJX589755:NJX589778 NTT589755:NTT589778 ODP589755:ODP589778 ONL589755:ONL589778 OXH589755:OXH589778 PHD589755:PHD589778 PQZ589755:PQZ589778 QAV589755:QAV589778 QKR589755:QKR589778 QUN589755:QUN589778 REJ589755:REJ589778 ROF589755:ROF589778 RYB589755:RYB589778 SHX589755:SHX589778 SRT589755:SRT589778 TBP589755:TBP589778 TLL589755:TLL589778 TVH589755:TVH589778 UFD589755:UFD589778 UOZ589755:UOZ589778 UYV589755:UYV589778 VIR589755:VIR589778 VSN589755:VSN589778 WCJ589755:WCJ589778 WMF589755:WMF589778 WWB589755:WWB589778 T655320:T655343 JP655291:JP655314 TL655291:TL655314 ADH655291:ADH655314 AND655291:AND655314 AWZ655291:AWZ655314 BGV655291:BGV655314 BQR655291:BQR655314 CAN655291:CAN655314 CKJ655291:CKJ655314 CUF655291:CUF655314 DEB655291:DEB655314 DNX655291:DNX655314 DXT655291:DXT655314 EHP655291:EHP655314 ERL655291:ERL655314 FBH655291:FBH655314 FLD655291:FLD655314 FUZ655291:FUZ655314 GEV655291:GEV655314 GOR655291:GOR655314 GYN655291:GYN655314 HIJ655291:HIJ655314 HSF655291:HSF655314 ICB655291:ICB655314 ILX655291:ILX655314 IVT655291:IVT655314 JFP655291:JFP655314 JPL655291:JPL655314 JZH655291:JZH655314 KJD655291:KJD655314 KSZ655291:KSZ655314 LCV655291:LCV655314 LMR655291:LMR655314 LWN655291:LWN655314 MGJ655291:MGJ655314 MQF655291:MQF655314 NAB655291:NAB655314 NJX655291:NJX655314 NTT655291:NTT655314 ODP655291:ODP655314 ONL655291:ONL655314 OXH655291:OXH655314 PHD655291:PHD655314 PQZ655291:PQZ655314 QAV655291:QAV655314 QKR655291:QKR655314 QUN655291:QUN655314 REJ655291:REJ655314 ROF655291:ROF655314 RYB655291:RYB655314 SHX655291:SHX655314 SRT655291:SRT655314 TBP655291:TBP655314 TLL655291:TLL655314 TVH655291:TVH655314 UFD655291:UFD655314 UOZ655291:UOZ655314 UYV655291:UYV655314 VIR655291:VIR655314 VSN655291:VSN655314 WCJ655291:WCJ655314 WMF655291:WMF655314 WWB655291:WWB655314 T720856:T720879 JP720827:JP720850 TL720827:TL720850 ADH720827:ADH720850 AND720827:AND720850 AWZ720827:AWZ720850 BGV720827:BGV720850 BQR720827:BQR720850 CAN720827:CAN720850 CKJ720827:CKJ720850 CUF720827:CUF720850 DEB720827:DEB720850 DNX720827:DNX720850 DXT720827:DXT720850 EHP720827:EHP720850 ERL720827:ERL720850 FBH720827:FBH720850 FLD720827:FLD720850 FUZ720827:FUZ720850 GEV720827:GEV720850 GOR720827:GOR720850 GYN720827:GYN720850 HIJ720827:HIJ720850 HSF720827:HSF720850 ICB720827:ICB720850 ILX720827:ILX720850 IVT720827:IVT720850 JFP720827:JFP720850 JPL720827:JPL720850 JZH720827:JZH720850 KJD720827:KJD720850 KSZ720827:KSZ720850 LCV720827:LCV720850 LMR720827:LMR720850 LWN720827:LWN720850 MGJ720827:MGJ720850 MQF720827:MQF720850 NAB720827:NAB720850 NJX720827:NJX720850 NTT720827:NTT720850 ODP720827:ODP720850 ONL720827:ONL720850 OXH720827:OXH720850 PHD720827:PHD720850 PQZ720827:PQZ720850 QAV720827:QAV720850 QKR720827:QKR720850 QUN720827:QUN720850 REJ720827:REJ720850 ROF720827:ROF720850 RYB720827:RYB720850 SHX720827:SHX720850 SRT720827:SRT720850 TBP720827:TBP720850 TLL720827:TLL720850 TVH720827:TVH720850 UFD720827:UFD720850 UOZ720827:UOZ720850 UYV720827:UYV720850 VIR720827:VIR720850 VSN720827:VSN720850 WCJ720827:WCJ720850 WMF720827:WMF720850 WWB720827:WWB720850 T786392:T786415 JP786363:JP786386 TL786363:TL786386 ADH786363:ADH786386 AND786363:AND786386 AWZ786363:AWZ786386 BGV786363:BGV786386 BQR786363:BQR786386 CAN786363:CAN786386 CKJ786363:CKJ786386 CUF786363:CUF786386 DEB786363:DEB786386 DNX786363:DNX786386 DXT786363:DXT786386 EHP786363:EHP786386 ERL786363:ERL786386 FBH786363:FBH786386 FLD786363:FLD786386 FUZ786363:FUZ786386 GEV786363:GEV786386 GOR786363:GOR786386 GYN786363:GYN786386 HIJ786363:HIJ786386 HSF786363:HSF786386 ICB786363:ICB786386 ILX786363:ILX786386 IVT786363:IVT786386 JFP786363:JFP786386 JPL786363:JPL786386 JZH786363:JZH786386 KJD786363:KJD786386 KSZ786363:KSZ786386 LCV786363:LCV786386 LMR786363:LMR786386 LWN786363:LWN786386 MGJ786363:MGJ786386 MQF786363:MQF786386 NAB786363:NAB786386 NJX786363:NJX786386 NTT786363:NTT786386 ODP786363:ODP786386 ONL786363:ONL786386 OXH786363:OXH786386 PHD786363:PHD786386 PQZ786363:PQZ786386 QAV786363:QAV786386 QKR786363:QKR786386 QUN786363:QUN786386 REJ786363:REJ786386 ROF786363:ROF786386 RYB786363:RYB786386 SHX786363:SHX786386 SRT786363:SRT786386 TBP786363:TBP786386 TLL786363:TLL786386 TVH786363:TVH786386 UFD786363:UFD786386 UOZ786363:UOZ786386 UYV786363:UYV786386 VIR786363:VIR786386 VSN786363:VSN786386 WCJ786363:WCJ786386 WMF786363:WMF786386 WWB786363:WWB786386 T851928:T851951 JP851899:JP851922 TL851899:TL851922 ADH851899:ADH851922 AND851899:AND851922 AWZ851899:AWZ851922 BGV851899:BGV851922 BQR851899:BQR851922 CAN851899:CAN851922 CKJ851899:CKJ851922 CUF851899:CUF851922 DEB851899:DEB851922 DNX851899:DNX851922 DXT851899:DXT851922 EHP851899:EHP851922 ERL851899:ERL851922 FBH851899:FBH851922 FLD851899:FLD851922 FUZ851899:FUZ851922 GEV851899:GEV851922 GOR851899:GOR851922 GYN851899:GYN851922 HIJ851899:HIJ851922 HSF851899:HSF851922 ICB851899:ICB851922 ILX851899:ILX851922 IVT851899:IVT851922 JFP851899:JFP851922 JPL851899:JPL851922 JZH851899:JZH851922 KJD851899:KJD851922 KSZ851899:KSZ851922 LCV851899:LCV851922 LMR851899:LMR851922 LWN851899:LWN851922 MGJ851899:MGJ851922 MQF851899:MQF851922 NAB851899:NAB851922 NJX851899:NJX851922 NTT851899:NTT851922 ODP851899:ODP851922 ONL851899:ONL851922 OXH851899:OXH851922 PHD851899:PHD851922 PQZ851899:PQZ851922 QAV851899:QAV851922 QKR851899:QKR851922 QUN851899:QUN851922 REJ851899:REJ851922 ROF851899:ROF851922 RYB851899:RYB851922 SHX851899:SHX851922 SRT851899:SRT851922 TBP851899:TBP851922 TLL851899:TLL851922 TVH851899:TVH851922 UFD851899:UFD851922 UOZ851899:UOZ851922 UYV851899:UYV851922 VIR851899:VIR851922 VSN851899:VSN851922 WCJ851899:WCJ851922 WMF851899:WMF851922 WWB851899:WWB851922 T917464:T917487 JP917435:JP917458 TL917435:TL917458 ADH917435:ADH917458 AND917435:AND917458 AWZ917435:AWZ917458 BGV917435:BGV917458 BQR917435:BQR917458 CAN917435:CAN917458 CKJ917435:CKJ917458 CUF917435:CUF917458 DEB917435:DEB917458 DNX917435:DNX917458 DXT917435:DXT917458 EHP917435:EHP917458 ERL917435:ERL917458 FBH917435:FBH917458 FLD917435:FLD917458 FUZ917435:FUZ917458 GEV917435:GEV917458 GOR917435:GOR917458 GYN917435:GYN917458 HIJ917435:HIJ917458 HSF917435:HSF917458 ICB917435:ICB917458 ILX917435:ILX917458 IVT917435:IVT917458 JFP917435:JFP917458 JPL917435:JPL917458 JZH917435:JZH917458 KJD917435:KJD917458 KSZ917435:KSZ917458 LCV917435:LCV917458 LMR917435:LMR917458 LWN917435:LWN917458 MGJ917435:MGJ917458 MQF917435:MQF917458 NAB917435:NAB917458 NJX917435:NJX917458 NTT917435:NTT917458 ODP917435:ODP917458 ONL917435:ONL917458 OXH917435:OXH917458 PHD917435:PHD917458 PQZ917435:PQZ917458 QAV917435:QAV917458 QKR917435:QKR917458 QUN917435:QUN917458 REJ917435:REJ917458 ROF917435:ROF917458 RYB917435:RYB917458 SHX917435:SHX917458 SRT917435:SRT917458 TBP917435:TBP917458 TLL917435:TLL917458 TVH917435:TVH917458 UFD917435:UFD917458 UOZ917435:UOZ917458 UYV917435:UYV917458 VIR917435:VIR917458 VSN917435:VSN917458 WCJ917435:WCJ917458 WMF917435:WMF917458 WWB917435:WWB917458 T983000:T983023 JP982971:JP982994 TL982971:TL982994 ADH982971:ADH982994 AND982971:AND982994 AWZ982971:AWZ982994 BGV982971:BGV982994 BQR982971:BQR982994 CAN982971:CAN982994 CKJ982971:CKJ982994 CUF982971:CUF982994 DEB982971:DEB982994 DNX982971:DNX982994 DXT982971:DXT982994 EHP982971:EHP982994 ERL982971:ERL982994 FBH982971:FBH982994 FLD982971:FLD982994 FUZ982971:FUZ982994 GEV982971:GEV982994 GOR982971:GOR982994 GYN982971:GYN982994 HIJ982971:HIJ982994 HSF982971:HSF982994 ICB982971:ICB982994 ILX982971:ILX982994 IVT982971:IVT982994 JFP982971:JFP982994 JPL982971:JPL982994 JZH982971:JZH982994 KJD982971:KJD982994 KSZ982971:KSZ982994 LCV982971:LCV982994 LMR982971:LMR982994 LWN982971:LWN982994 MGJ982971:MGJ982994 MQF982971:MQF982994 NAB982971:NAB982994 NJX982971:NJX982994 NTT982971:NTT982994 ODP982971:ODP982994 ONL982971:ONL982994 OXH982971:OXH982994 PHD982971:PHD982994 PQZ982971:PQZ982994 QAV982971:QAV982994 QKR982971:QKR982994 QUN982971:QUN982994 REJ982971:REJ982994 ROF982971:ROF982994 RYB982971:RYB982994 SHX982971:SHX982994 SRT982971:SRT982994 TBP982971:TBP982994 TLL982971:TLL982994 TVH982971:TVH982994 UFD982971:UFD982994 UOZ982971:UOZ982994 UYV982971:UYV982994 VIR982971:VIR982994 VSN982971:VSN982994 WCJ982971:WCJ982994 WMF982971:WMF982994 WWB982971:WWB982994 T65496:T65519 WWA13:WWA513 WME13:WME513 WCI13:WCI513 VSM13:VSM513 VIQ13:VIQ513 UYU13:UYU513 UOY13:UOY513 UFC13:UFC513 TVG13:TVG513 TLK13:TLK513 TBO13:TBO513 SRS13:SRS513 SHW13:SHW513 RYA13:RYA513 ROE13:ROE513 REI13:REI513 QUM13:QUM513 QKQ13:QKQ513 QAU13:QAU513 PQY13:PQY513 PHC13:PHC513 OXG13:OXG513 ONK13:ONK513 ODO13:ODO513 NTS13:NTS513 NJW13:NJW513 NAA13:NAA513 MQE13:MQE513 MGI13:MGI513 LWM13:LWM513 LMQ13:LMQ513 LCU13:LCU513 KSY13:KSY513 KJC13:KJC513 JZG13:JZG513 JPK13:JPK513 JFO13:JFO513 IVS13:IVS513 ILW13:ILW513 ICA13:ICA513 HSE13:HSE513 HII13:HII513 GYM13:GYM513 GOQ13:GOQ513 GEU13:GEU513 FUY13:FUY513 FLC13:FLC513 FBG13:FBG513 ERK13:ERK513 EHO13:EHO513 DXS13:DXS513 DNW13:DNW513 DEA13:DEA513 CUE13:CUE513 CKI13:CKI513 CAM13:CAM513 BQQ13:BQQ513 BGU13:BGU513 AWY13:AWY513 ANC13:ANC513 ADG13:ADG513 TK13:TK513 JO13:JO513 S13:S513" xr:uid="{00000000-0002-0000-0E00-000007000000}"/>
    <dataValidation type="list" allowBlank="1" showInputMessage="1" showErrorMessage="1" sqref="X65495:X65519 WWR982970:WWR982994 WMV982970:WMV982994 WCZ982970:WCZ982994 VTD982970:VTD982994 VJH982970:VJH982994 UZL982970:UZL982994 UPP982970:UPP982994 UFT982970:UFT982994 TVX982970:TVX982994 TMB982970:TMB982994 TCF982970:TCF982994 SSJ982970:SSJ982994 SIN982970:SIN982994 RYR982970:RYR982994 ROV982970:ROV982994 REZ982970:REZ982994 QVD982970:QVD982994 QLH982970:QLH982994 QBL982970:QBL982994 PRP982970:PRP982994 PHT982970:PHT982994 OXX982970:OXX982994 OOB982970:OOB982994 OEF982970:OEF982994 NUJ982970:NUJ982994 NKN982970:NKN982994 NAR982970:NAR982994 MQV982970:MQV982994 MGZ982970:MGZ982994 LXD982970:LXD982994 LNH982970:LNH982994 LDL982970:LDL982994 KTP982970:KTP982994 KJT982970:KJT982994 JZX982970:JZX982994 JQB982970:JQB982994 JGF982970:JGF982994 IWJ982970:IWJ982994 IMN982970:IMN982994 ICR982970:ICR982994 HSV982970:HSV982994 HIZ982970:HIZ982994 GZD982970:GZD982994 GPH982970:GPH982994 GFL982970:GFL982994 FVP982970:FVP982994 FLT982970:FLT982994 FBX982970:FBX982994 ESB982970:ESB982994 EIF982970:EIF982994 DYJ982970:DYJ982994 DON982970:DON982994 DER982970:DER982994 CUV982970:CUV982994 CKZ982970:CKZ982994 CBD982970:CBD982994 BRH982970:BRH982994 BHL982970:BHL982994 AXP982970:AXP982994 ANT982970:ANT982994 ADX982970:ADX982994 UB982970:UB982994 KF982970:KF982994 AJ982970:AJ982994 WWR917434:WWR917458 WMV917434:WMV917458 WCZ917434:WCZ917458 VTD917434:VTD917458 VJH917434:VJH917458 UZL917434:UZL917458 UPP917434:UPP917458 UFT917434:UFT917458 TVX917434:TVX917458 TMB917434:TMB917458 TCF917434:TCF917458 SSJ917434:SSJ917458 SIN917434:SIN917458 RYR917434:RYR917458 ROV917434:ROV917458 REZ917434:REZ917458 QVD917434:QVD917458 QLH917434:QLH917458 QBL917434:QBL917458 PRP917434:PRP917458 PHT917434:PHT917458 OXX917434:OXX917458 OOB917434:OOB917458 OEF917434:OEF917458 NUJ917434:NUJ917458 NKN917434:NKN917458 NAR917434:NAR917458 MQV917434:MQV917458 MGZ917434:MGZ917458 LXD917434:LXD917458 LNH917434:LNH917458 LDL917434:LDL917458 KTP917434:KTP917458 KJT917434:KJT917458 JZX917434:JZX917458 JQB917434:JQB917458 JGF917434:JGF917458 IWJ917434:IWJ917458 IMN917434:IMN917458 ICR917434:ICR917458 HSV917434:HSV917458 HIZ917434:HIZ917458 GZD917434:GZD917458 GPH917434:GPH917458 GFL917434:GFL917458 FVP917434:FVP917458 FLT917434:FLT917458 FBX917434:FBX917458 ESB917434:ESB917458 EIF917434:EIF917458 DYJ917434:DYJ917458 DON917434:DON917458 DER917434:DER917458 CUV917434:CUV917458 CKZ917434:CKZ917458 CBD917434:CBD917458 BRH917434:BRH917458 BHL917434:BHL917458 AXP917434:AXP917458 ANT917434:ANT917458 ADX917434:ADX917458 UB917434:UB917458 KF917434:KF917458 AJ917434:AJ917458 WWR851898:WWR851922 WMV851898:WMV851922 WCZ851898:WCZ851922 VTD851898:VTD851922 VJH851898:VJH851922 UZL851898:UZL851922 UPP851898:UPP851922 UFT851898:UFT851922 TVX851898:TVX851922 TMB851898:TMB851922 TCF851898:TCF851922 SSJ851898:SSJ851922 SIN851898:SIN851922 RYR851898:RYR851922 ROV851898:ROV851922 REZ851898:REZ851922 QVD851898:QVD851922 QLH851898:QLH851922 QBL851898:QBL851922 PRP851898:PRP851922 PHT851898:PHT851922 OXX851898:OXX851922 OOB851898:OOB851922 OEF851898:OEF851922 NUJ851898:NUJ851922 NKN851898:NKN851922 NAR851898:NAR851922 MQV851898:MQV851922 MGZ851898:MGZ851922 LXD851898:LXD851922 LNH851898:LNH851922 LDL851898:LDL851922 KTP851898:KTP851922 KJT851898:KJT851922 JZX851898:JZX851922 JQB851898:JQB851922 JGF851898:JGF851922 IWJ851898:IWJ851922 IMN851898:IMN851922 ICR851898:ICR851922 HSV851898:HSV851922 HIZ851898:HIZ851922 GZD851898:GZD851922 GPH851898:GPH851922 GFL851898:GFL851922 FVP851898:FVP851922 FLT851898:FLT851922 FBX851898:FBX851922 ESB851898:ESB851922 EIF851898:EIF851922 DYJ851898:DYJ851922 DON851898:DON851922 DER851898:DER851922 CUV851898:CUV851922 CKZ851898:CKZ851922 CBD851898:CBD851922 BRH851898:BRH851922 BHL851898:BHL851922 AXP851898:AXP851922 ANT851898:ANT851922 ADX851898:ADX851922 UB851898:UB851922 KF851898:KF851922 AJ851898:AJ851922 WWR786362:WWR786386 WMV786362:WMV786386 WCZ786362:WCZ786386 VTD786362:VTD786386 VJH786362:VJH786386 UZL786362:UZL786386 UPP786362:UPP786386 UFT786362:UFT786386 TVX786362:TVX786386 TMB786362:TMB786386 TCF786362:TCF786386 SSJ786362:SSJ786386 SIN786362:SIN786386 RYR786362:RYR786386 ROV786362:ROV786386 REZ786362:REZ786386 QVD786362:QVD786386 QLH786362:QLH786386 QBL786362:QBL786386 PRP786362:PRP786386 PHT786362:PHT786386 OXX786362:OXX786386 OOB786362:OOB786386 OEF786362:OEF786386 NUJ786362:NUJ786386 NKN786362:NKN786386 NAR786362:NAR786386 MQV786362:MQV786386 MGZ786362:MGZ786386 LXD786362:LXD786386 LNH786362:LNH786386 LDL786362:LDL786386 KTP786362:KTP786386 KJT786362:KJT786386 JZX786362:JZX786386 JQB786362:JQB786386 JGF786362:JGF786386 IWJ786362:IWJ786386 IMN786362:IMN786386 ICR786362:ICR786386 HSV786362:HSV786386 HIZ786362:HIZ786386 GZD786362:GZD786386 GPH786362:GPH786386 GFL786362:GFL786386 FVP786362:FVP786386 FLT786362:FLT786386 FBX786362:FBX786386 ESB786362:ESB786386 EIF786362:EIF786386 DYJ786362:DYJ786386 DON786362:DON786386 DER786362:DER786386 CUV786362:CUV786386 CKZ786362:CKZ786386 CBD786362:CBD786386 BRH786362:BRH786386 BHL786362:BHL786386 AXP786362:AXP786386 ANT786362:ANT786386 ADX786362:ADX786386 UB786362:UB786386 KF786362:KF786386 AJ786362:AJ786386 WWR720826:WWR720850 WMV720826:WMV720850 WCZ720826:WCZ720850 VTD720826:VTD720850 VJH720826:VJH720850 UZL720826:UZL720850 UPP720826:UPP720850 UFT720826:UFT720850 TVX720826:TVX720850 TMB720826:TMB720850 TCF720826:TCF720850 SSJ720826:SSJ720850 SIN720826:SIN720850 RYR720826:RYR720850 ROV720826:ROV720850 REZ720826:REZ720850 QVD720826:QVD720850 QLH720826:QLH720850 QBL720826:QBL720850 PRP720826:PRP720850 PHT720826:PHT720850 OXX720826:OXX720850 OOB720826:OOB720850 OEF720826:OEF720850 NUJ720826:NUJ720850 NKN720826:NKN720850 NAR720826:NAR720850 MQV720826:MQV720850 MGZ720826:MGZ720850 LXD720826:LXD720850 LNH720826:LNH720850 LDL720826:LDL720850 KTP720826:KTP720850 KJT720826:KJT720850 JZX720826:JZX720850 JQB720826:JQB720850 JGF720826:JGF720850 IWJ720826:IWJ720850 IMN720826:IMN720850 ICR720826:ICR720850 HSV720826:HSV720850 HIZ720826:HIZ720850 GZD720826:GZD720850 GPH720826:GPH720850 GFL720826:GFL720850 FVP720826:FVP720850 FLT720826:FLT720850 FBX720826:FBX720850 ESB720826:ESB720850 EIF720826:EIF720850 DYJ720826:DYJ720850 DON720826:DON720850 DER720826:DER720850 CUV720826:CUV720850 CKZ720826:CKZ720850 CBD720826:CBD720850 BRH720826:BRH720850 BHL720826:BHL720850 AXP720826:AXP720850 ANT720826:ANT720850 ADX720826:ADX720850 UB720826:UB720850 KF720826:KF720850 AJ720826:AJ720850 WWR655290:WWR655314 WMV655290:WMV655314 WCZ655290:WCZ655314 VTD655290:VTD655314 VJH655290:VJH655314 UZL655290:UZL655314 UPP655290:UPP655314 UFT655290:UFT655314 TVX655290:TVX655314 TMB655290:TMB655314 TCF655290:TCF655314 SSJ655290:SSJ655314 SIN655290:SIN655314 RYR655290:RYR655314 ROV655290:ROV655314 REZ655290:REZ655314 QVD655290:QVD655314 QLH655290:QLH655314 QBL655290:QBL655314 PRP655290:PRP655314 PHT655290:PHT655314 OXX655290:OXX655314 OOB655290:OOB655314 OEF655290:OEF655314 NUJ655290:NUJ655314 NKN655290:NKN655314 NAR655290:NAR655314 MQV655290:MQV655314 MGZ655290:MGZ655314 LXD655290:LXD655314 LNH655290:LNH655314 LDL655290:LDL655314 KTP655290:KTP655314 KJT655290:KJT655314 JZX655290:JZX655314 JQB655290:JQB655314 JGF655290:JGF655314 IWJ655290:IWJ655314 IMN655290:IMN655314 ICR655290:ICR655314 HSV655290:HSV655314 HIZ655290:HIZ655314 GZD655290:GZD655314 GPH655290:GPH655314 GFL655290:GFL655314 FVP655290:FVP655314 FLT655290:FLT655314 FBX655290:FBX655314 ESB655290:ESB655314 EIF655290:EIF655314 DYJ655290:DYJ655314 DON655290:DON655314 DER655290:DER655314 CUV655290:CUV655314 CKZ655290:CKZ655314 CBD655290:CBD655314 BRH655290:BRH655314 BHL655290:BHL655314 AXP655290:AXP655314 ANT655290:ANT655314 ADX655290:ADX655314 UB655290:UB655314 KF655290:KF655314 AJ655290:AJ655314 WWR589754:WWR589778 WMV589754:WMV589778 WCZ589754:WCZ589778 VTD589754:VTD589778 VJH589754:VJH589778 UZL589754:UZL589778 UPP589754:UPP589778 UFT589754:UFT589778 TVX589754:TVX589778 TMB589754:TMB589778 TCF589754:TCF589778 SSJ589754:SSJ589778 SIN589754:SIN589778 RYR589754:RYR589778 ROV589754:ROV589778 REZ589754:REZ589778 QVD589754:QVD589778 QLH589754:QLH589778 QBL589754:QBL589778 PRP589754:PRP589778 PHT589754:PHT589778 OXX589754:OXX589778 OOB589754:OOB589778 OEF589754:OEF589778 NUJ589754:NUJ589778 NKN589754:NKN589778 NAR589754:NAR589778 MQV589754:MQV589778 MGZ589754:MGZ589778 LXD589754:LXD589778 LNH589754:LNH589778 LDL589754:LDL589778 KTP589754:KTP589778 KJT589754:KJT589778 JZX589754:JZX589778 JQB589754:JQB589778 JGF589754:JGF589778 IWJ589754:IWJ589778 IMN589754:IMN589778 ICR589754:ICR589778 HSV589754:HSV589778 HIZ589754:HIZ589778 GZD589754:GZD589778 GPH589754:GPH589778 GFL589754:GFL589778 FVP589754:FVP589778 FLT589754:FLT589778 FBX589754:FBX589778 ESB589754:ESB589778 EIF589754:EIF589778 DYJ589754:DYJ589778 DON589754:DON589778 DER589754:DER589778 CUV589754:CUV589778 CKZ589754:CKZ589778 CBD589754:CBD589778 BRH589754:BRH589778 BHL589754:BHL589778 AXP589754:AXP589778 ANT589754:ANT589778 ADX589754:ADX589778 UB589754:UB589778 KF589754:KF589778 AJ589754:AJ589778 WWR524218:WWR524242 WMV524218:WMV524242 WCZ524218:WCZ524242 VTD524218:VTD524242 VJH524218:VJH524242 UZL524218:UZL524242 UPP524218:UPP524242 UFT524218:UFT524242 TVX524218:TVX524242 TMB524218:TMB524242 TCF524218:TCF524242 SSJ524218:SSJ524242 SIN524218:SIN524242 RYR524218:RYR524242 ROV524218:ROV524242 REZ524218:REZ524242 QVD524218:QVD524242 QLH524218:QLH524242 QBL524218:QBL524242 PRP524218:PRP524242 PHT524218:PHT524242 OXX524218:OXX524242 OOB524218:OOB524242 OEF524218:OEF524242 NUJ524218:NUJ524242 NKN524218:NKN524242 NAR524218:NAR524242 MQV524218:MQV524242 MGZ524218:MGZ524242 LXD524218:LXD524242 LNH524218:LNH524242 LDL524218:LDL524242 KTP524218:KTP524242 KJT524218:KJT524242 JZX524218:JZX524242 JQB524218:JQB524242 JGF524218:JGF524242 IWJ524218:IWJ524242 IMN524218:IMN524242 ICR524218:ICR524242 HSV524218:HSV524242 HIZ524218:HIZ524242 GZD524218:GZD524242 GPH524218:GPH524242 GFL524218:GFL524242 FVP524218:FVP524242 FLT524218:FLT524242 FBX524218:FBX524242 ESB524218:ESB524242 EIF524218:EIF524242 DYJ524218:DYJ524242 DON524218:DON524242 DER524218:DER524242 CUV524218:CUV524242 CKZ524218:CKZ524242 CBD524218:CBD524242 BRH524218:BRH524242 BHL524218:BHL524242 AXP524218:AXP524242 ANT524218:ANT524242 ADX524218:ADX524242 UB524218:UB524242 KF524218:KF524242 AJ524218:AJ524242 WWR458682:WWR458706 WMV458682:WMV458706 WCZ458682:WCZ458706 VTD458682:VTD458706 VJH458682:VJH458706 UZL458682:UZL458706 UPP458682:UPP458706 UFT458682:UFT458706 TVX458682:TVX458706 TMB458682:TMB458706 TCF458682:TCF458706 SSJ458682:SSJ458706 SIN458682:SIN458706 RYR458682:RYR458706 ROV458682:ROV458706 REZ458682:REZ458706 QVD458682:QVD458706 QLH458682:QLH458706 QBL458682:QBL458706 PRP458682:PRP458706 PHT458682:PHT458706 OXX458682:OXX458706 OOB458682:OOB458706 OEF458682:OEF458706 NUJ458682:NUJ458706 NKN458682:NKN458706 NAR458682:NAR458706 MQV458682:MQV458706 MGZ458682:MGZ458706 LXD458682:LXD458706 LNH458682:LNH458706 LDL458682:LDL458706 KTP458682:KTP458706 KJT458682:KJT458706 JZX458682:JZX458706 JQB458682:JQB458706 JGF458682:JGF458706 IWJ458682:IWJ458706 IMN458682:IMN458706 ICR458682:ICR458706 HSV458682:HSV458706 HIZ458682:HIZ458706 GZD458682:GZD458706 GPH458682:GPH458706 GFL458682:GFL458706 FVP458682:FVP458706 FLT458682:FLT458706 FBX458682:FBX458706 ESB458682:ESB458706 EIF458682:EIF458706 DYJ458682:DYJ458706 DON458682:DON458706 DER458682:DER458706 CUV458682:CUV458706 CKZ458682:CKZ458706 CBD458682:CBD458706 BRH458682:BRH458706 BHL458682:BHL458706 AXP458682:AXP458706 ANT458682:ANT458706 ADX458682:ADX458706 UB458682:UB458706 KF458682:KF458706 AJ458682:AJ458706 WWR393146:WWR393170 WMV393146:WMV393170 WCZ393146:WCZ393170 VTD393146:VTD393170 VJH393146:VJH393170 UZL393146:UZL393170 UPP393146:UPP393170 UFT393146:UFT393170 TVX393146:TVX393170 TMB393146:TMB393170 TCF393146:TCF393170 SSJ393146:SSJ393170 SIN393146:SIN393170 RYR393146:RYR393170 ROV393146:ROV393170 REZ393146:REZ393170 QVD393146:QVD393170 QLH393146:QLH393170 QBL393146:QBL393170 PRP393146:PRP393170 PHT393146:PHT393170 OXX393146:OXX393170 OOB393146:OOB393170 OEF393146:OEF393170 NUJ393146:NUJ393170 NKN393146:NKN393170 NAR393146:NAR393170 MQV393146:MQV393170 MGZ393146:MGZ393170 LXD393146:LXD393170 LNH393146:LNH393170 LDL393146:LDL393170 KTP393146:KTP393170 KJT393146:KJT393170 JZX393146:JZX393170 JQB393146:JQB393170 JGF393146:JGF393170 IWJ393146:IWJ393170 IMN393146:IMN393170 ICR393146:ICR393170 HSV393146:HSV393170 HIZ393146:HIZ393170 GZD393146:GZD393170 GPH393146:GPH393170 GFL393146:GFL393170 FVP393146:FVP393170 FLT393146:FLT393170 FBX393146:FBX393170 ESB393146:ESB393170 EIF393146:EIF393170 DYJ393146:DYJ393170 DON393146:DON393170 DER393146:DER393170 CUV393146:CUV393170 CKZ393146:CKZ393170 CBD393146:CBD393170 BRH393146:BRH393170 BHL393146:BHL393170 AXP393146:AXP393170 ANT393146:ANT393170 ADX393146:ADX393170 UB393146:UB393170 KF393146:KF393170 AJ393146:AJ393170 WWR327610:WWR327634 WMV327610:WMV327634 WCZ327610:WCZ327634 VTD327610:VTD327634 VJH327610:VJH327634 UZL327610:UZL327634 UPP327610:UPP327634 UFT327610:UFT327634 TVX327610:TVX327634 TMB327610:TMB327634 TCF327610:TCF327634 SSJ327610:SSJ327634 SIN327610:SIN327634 RYR327610:RYR327634 ROV327610:ROV327634 REZ327610:REZ327634 QVD327610:QVD327634 QLH327610:QLH327634 QBL327610:QBL327634 PRP327610:PRP327634 PHT327610:PHT327634 OXX327610:OXX327634 OOB327610:OOB327634 OEF327610:OEF327634 NUJ327610:NUJ327634 NKN327610:NKN327634 NAR327610:NAR327634 MQV327610:MQV327634 MGZ327610:MGZ327634 LXD327610:LXD327634 LNH327610:LNH327634 LDL327610:LDL327634 KTP327610:KTP327634 KJT327610:KJT327634 JZX327610:JZX327634 JQB327610:JQB327634 JGF327610:JGF327634 IWJ327610:IWJ327634 IMN327610:IMN327634 ICR327610:ICR327634 HSV327610:HSV327634 HIZ327610:HIZ327634 GZD327610:GZD327634 GPH327610:GPH327634 GFL327610:GFL327634 FVP327610:FVP327634 FLT327610:FLT327634 FBX327610:FBX327634 ESB327610:ESB327634 EIF327610:EIF327634 DYJ327610:DYJ327634 DON327610:DON327634 DER327610:DER327634 CUV327610:CUV327634 CKZ327610:CKZ327634 CBD327610:CBD327634 BRH327610:BRH327634 BHL327610:BHL327634 AXP327610:AXP327634 ANT327610:ANT327634 ADX327610:ADX327634 UB327610:UB327634 KF327610:KF327634 AJ327610:AJ327634 WWR262074:WWR262098 WMV262074:WMV262098 WCZ262074:WCZ262098 VTD262074:VTD262098 VJH262074:VJH262098 UZL262074:UZL262098 UPP262074:UPP262098 UFT262074:UFT262098 TVX262074:TVX262098 TMB262074:TMB262098 TCF262074:TCF262098 SSJ262074:SSJ262098 SIN262074:SIN262098 RYR262074:RYR262098 ROV262074:ROV262098 REZ262074:REZ262098 QVD262074:QVD262098 QLH262074:QLH262098 QBL262074:QBL262098 PRP262074:PRP262098 PHT262074:PHT262098 OXX262074:OXX262098 OOB262074:OOB262098 OEF262074:OEF262098 NUJ262074:NUJ262098 NKN262074:NKN262098 NAR262074:NAR262098 MQV262074:MQV262098 MGZ262074:MGZ262098 LXD262074:LXD262098 LNH262074:LNH262098 LDL262074:LDL262098 KTP262074:KTP262098 KJT262074:KJT262098 JZX262074:JZX262098 JQB262074:JQB262098 JGF262074:JGF262098 IWJ262074:IWJ262098 IMN262074:IMN262098 ICR262074:ICR262098 HSV262074:HSV262098 HIZ262074:HIZ262098 GZD262074:GZD262098 GPH262074:GPH262098 GFL262074:GFL262098 FVP262074:FVP262098 FLT262074:FLT262098 FBX262074:FBX262098 ESB262074:ESB262098 EIF262074:EIF262098 DYJ262074:DYJ262098 DON262074:DON262098 DER262074:DER262098 CUV262074:CUV262098 CKZ262074:CKZ262098 CBD262074:CBD262098 BRH262074:BRH262098 BHL262074:BHL262098 AXP262074:AXP262098 ANT262074:ANT262098 ADX262074:ADX262098 UB262074:UB262098 KF262074:KF262098 AJ262074:AJ262098 WWR196538:WWR196562 WMV196538:WMV196562 WCZ196538:WCZ196562 VTD196538:VTD196562 VJH196538:VJH196562 UZL196538:UZL196562 UPP196538:UPP196562 UFT196538:UFT196562 TVX196538:TVX196562 TMB196538:TMB196562 TCF196538:TCF196562 SSJ196538:SSJ196562 SIN196538:SIN196562 RYR196538:RYR196562 ROV196538:ROV196562 REZ196538:REZ196562 QVD196538:QVD196562 QLH196538:QLH196562 QBL196538:QBL196562 PRP196538:PRP196562 PHT196538:PHT196562 OXX196538:OXX196562 OOB196538:OOB196562 OEF196538:OEF196562 NUJ196538:NUJ196562 NKN196538:NKN196562 NAR196538:NAR196562 MQV196538:MQV196562 MGZ196538:MGZ196562 LXD196538:LXD196562 LNH196538:LNH196562 LDL196538:LDL196562 KTP196538:KTP196562 KJT196538:KJT196562 JZX196538:JZX196562 JQB196538:JQB196562 JGF196538:JGF196562 IWJ196538:IWJ196562 IMN196538:IMN196562 ICR196538:ICR196562 HSV196538:HSV196562 HIZ196538:HIZ196562 GZD196538:GZD196562 GPH196538:GPH196562 GFL196538:GFL196562 FVP196538:FVP196562 FLT196538:FLT196562 FBX196538:FBX196562 ESB196538:ESB196562 EIF196538:EIF196562 DYJ196538:DYJ196562 DON196538:DON196562 DER196538:DER196562 CUV196538:CUV196562 CKZ196538:CKZ196562 CBD196538:CBD196562 BRH196538:BRH196562 BHL196538:BHL196562 AXP196538:AXP196562 ANT196538:ANT196562 ADX196538:ADX196562 UB196538:UB196562 KF196538:KF196562 AJ196538:AJ196562 WWR131002:WWR131026 WMV131002:WMV131026 WCZ131002:WCZ131026 VTD131002:VTD131026 VJH131002:VJH131026 UZL131002:UZL131026 UPP131002:UPP131026 UFT131002:UFT131026 TVX131002:TVX131026 TMB131002:TMB131026 TCF131002:TCF131026 SSJ131002:SSJ131026 SIN131002:SIN131026 RYR131002:RYR131026 ROV131002:ROV131026 REZ131002:REZ131026 QVD131002:QVD131026 QLH131002:QLH131026 QBL131002:QBL131026 PRP131002:PRP131026 PHT131002:PHT131026 OXX131002:OXX131026 OOB131002:OOB131026 OEF131002:OEF131026 NUJ131002:NUJ131026 NKN131002:NKN131026 NAR131002:NAR131026 MQV131002:MQV131026 MGZ131002:MGZ131026 LXD131002:LXD131026 LNH131002:LNH131026 LDL131002:LDL131026 KTP131002:KTP131026 KJT131002:KJT131026 JZX131002:JZX131026 JQB131002:JQB131026 JGF131002:JGF131026 IWJ131002:IWJ131026 IMN131002:IMN131026 ICR131002:ICR131026 HSV131002:HSV131026 HIZ131002:HIZ131026 GZD131002:GZD131026 GPH131002:GPH131026 GFL131002:GFL131026 FVP131002:FVP131026 FLT131002:FLT131026 FBX131002:FBX131026 ESB131002:ESB131026 EIF131002:EIF131026 DYJ131002:DYJ131026 DON131002:DON131026 DER131002:DER131026 CUV131002:CUV131026 CKZ131002:CKZ131026 CBD131002:CBD131026 BRH131002:BRH131026 BHL131002:BHL131026 AXP131002:AXP131026 ANT131002:ANT131026 ADX131002:ADX131026 UB131002:UB131026 KF131002:KF131026 AJ131002:AJ131026 WWR65466:WWR65490 WMV65466:WMV65490 WCZ65466:WCZ65490 VTD65466:VTD65490 VJH65466:VJH65490 UZL65466:UZL65490 UPP65466:UPP65490 UFT65466:UFT65490 TVX65466:TVX65490 TMB65466:TMB65490 TCF65466:TCF65490 SSJ65466:SSJ65490 SIN65466:SIN65490 RYR65466:RYR65490 ROV65466:ROV65490 REZ65466:REZ65490 QVD65466:QVD65490 QLH65466:QLH65490 QBL65466:QBL65490 PRP65466:PRP65490 PHT65466:PHT65490 OXX65466:OXX65490 OOB65466:OOB65490 OEF65466:OEF65490 NUJ65466:NUJ65490 NKN65466:NKN65490 NAR65466:NAR65490 MQV65466:MQV65490 MGZ65466:MGZ65490 LXD65466:LXD65490 LNH65466:LNH65490 LDL65466:LDL65490 KTP65466:KTP65490 KJT65466:KJT65490 JZX65466:JZX65490 JQB65466:JQB65490 JGF65466:JGF65490 IWJ65466:IWJ65490 IMN65466:IMN65490 ICR65466:ICR65490 HSV65466:HSV65490 HIZ65466:HIZ65490 GZD65466:GZD65490 GPH65466:GPH65490 GFL65466:GFL65490 FVP65466:FVP65490 FLT65466:FLT65490 FBX65466:FBX65490 ESB65466:ESB65490 EIF65466:EIF65490 DYJ65466:DYJ65490 DON65466:DON65490 DER65466:DER65490 CUV65466:CUV65490 CKZ65466:CKZ65490 CBD65466:CBD65490 BRH65466:BRH65490 BHL65466:BHL65490 AXP65466:AXP65490 ANT65466:ANT65490 ADX65466:ADX65490 UB65466:UB65490 KF65466:KF65490 AJ65466:AJ65490 WWN982970:WWN982994 WMR982970:WMR982994 WCV982970:WCV982994 VSZ982970:VSZ982994 VJD982970:VJD982994 UZH982970:UZH982994 UPL982970:UPL982994 UFP982970:UFP982994 TVT982970:TVT982994 TLX982970:TLX982994 TCB982970:TCB982994 SSF982970:SSF982994 SIJ982970:SIJ982994 RYN982970:RYN982994 ROR982970:ROR982994 REV982970:REV982994 QUZ982970:QUZ982994 QLD982970:QLD982994 QBH982970:QBH982994 PRL982970:PRL982994 PHP982970:PHP982994 OXT982970:OXT982994 ONX982970:ONX982994 OEB982970:OEB982994 NUF982970:NUF982994 NKJ982970:NKJ982994 NAN982970:NAN982994 MQR982970:MQR982994 MGV982970:MGV982994 LWZ982970:LWZ982994 LND982970:LND982994 LDH982970:LDH982994 KTL982970:KTL982994 KJP982970:KJP982994 JZT982970:JZT982994 JPX982970:JPX982994 JGB982970:JGB982994 IWF982970:IWF982994 IMJ982970:IMJ982994 ICN982970:ICN982994 HSR982970:HSR982994 HIV982970:HIV982994 GYZ982970:GYZ982994 GPD982970:GPD982994 GFH982970:GFH982994 FVL982970:FVL982994 FLP982970:FLP982994 FBT982970:FBT982994 ERX982970:ERX982994 EIB982970:EIB982994 DYF982970:DYF982994 DOJ982970:DOJ982994 DEN982970:DEN982994 CUR982970:CUR982994 CKV982970:CKV982994 CAZ982970:CAZ982994 BRD982970:BRD982994 BHH982970:BHH982994 AXL982970:AXL982994 ANP982970:ANP982994 ADT982970:ADT982994 TX982970:TX982994 KB982970:KB982994 AF982970:AF982994 WWN917434:WWN917458 WMR917434:WMR917458 WCV917434:WCV917458 VSZ917434:VSZ917458 VJD917434:VJD917458 UZH917434:UZH917458 UPL917434:UPL917458 UFP917434:UFP917458 TVT917434:TVT917458 TLX917434:TLX917458 TCB917434:TCB917458 SSF917434:SSF917458 SIJ917434:SIJ917458 RYN917434:RYN917458 ROR917434:ROR917458 REV917434:REV917458 QUZ917434:QUZ917458 QLD917434:QLD917458 QBH917434:QBH917458 PRL917434:PRL917458 PHP917434:PHP917458 OXT917434:OXT917458 ONX917434:ONX917458 OEB917434:OEB917458 NUF917434:NUF917458 NKJ917434:NKJ917458 NAN917434:NAN917458 MQR917434:MQR917458 MGV917434:MGV917458 LWZ917434:LWZ917458 LND917434:LND917458 LDH917434:LDH917458 KTL917434:KTL917458 KJP917434:KJP917458 JZT917434:JZT917458 JPX917434:JPX917458 JGB917434:JGB917458 IWF917434:IWF917458 IMJ917434:IMJ917458 ICN917434:ICN917458 HSR917434:HSR917458 HIV917434:HIV917458 GYZ917434:GYZ917458 GPD917434:GPD917458 GFH917434:GFH917458 FVL917434:FVL917458 FLP917434:FLP917458 FBT917434:FBT917458 ERX917434:ERX917458 EIB917434:EIB917458 DYF917434:DYF917458 DOJ917434:DOJ917458 DEN917434:DEN917458 CUR917434:CUR917458 CKV917434:CKV917458 CAZ917434:CAZ917458 BRD917434:BRD917458 BHH917434:BHH917458 AXL917434:AXL917458 ANP917434:ANP917458 ADT917434:ADT917458 TX917434:TX917458 KB917434:KB917458 AF917434:AF917458 WWN851898:WWN851922 WMR851898:WMR851922 WCV851898:WCV851922 VSZ851898:VSZ851922 VJD851898:VJD851922 UZH851898:UZH851922 UPL851898:UPL851922 UFP851898:UFP851922 TVT851898:TVT851922 TLX851898:TLX851922 TCB851898:TCB851922 SSF851898:SSF851922 SIJ851898:SIJ851922 RYN851898:RYN851922 ROR851898:ROR851922 REV851898:REV851922 QUZ851898:QUZ851922 QLD851898:QLD851922 QBH851898:QBH851922 PRL851898:PRL851922 PHP851898:PHP851922 OXT851898:OXT851922 ONX851898:ONX851922 OEB851898:OEB851922 NUF851898:NUF851922 NKJ851898:NKJ851922 NAN851898:NAN851922 MQR851898:MQR851922 MGV851898:MGV851922 LWZ851898:LWZ851922 LND851898:LND851922 LDH851898:LDH851922 KTL851898:KTL851922 KJP851898:KJP851922 JZT851898:JZT851922 JPX851898:JPX851922 JGB851898:JGB851922 IWF851898:IWF851922 IMJ851898:IMJ851922 ICN851898:ICN851922 HSR851898:HSR851922 HIV851898:HIV851922 GYZ851898:GYZ851922 GPD851898:GPD851922 GFH851898:GFH851922 FVL851898:FVL851922 FLP851898:FLP851922 FBT851898:FBT851922 ERX851898:ERX851922 EIB851898:EIB851922 DYF851898:DYF851922 DOJ851898:DOJ851922 DEN851898:DEN851922 CUR851898:CUR851922 CKV851898:CKV851922 CAZ851898:CAZ851922 BRD851898:BRD851922 BHH851898:BHH851922 AXL851898:AXL851922 ANP851898:ANP851922 ADT851898:ADT851922 TX851898:TX851922 KB851898:KB851922 AF851898:AF851922 WWN786362:WWN786386 WMR786362:WMR786386 WCV786362:WCV786386 VSZ786362:VSZ786386 VJD786362:VJD786386 UZH786362:UZH786386 UPL786362:UPL786386 UFP786362:UFP786386 TVT786362:TVT786386 TLX786362:TLX786386 TCB786362:TCB786386 SSF786362:SSF786386 SIJ786362:SIJ786386 RYN786362:RYN786386 ROR786362:ROR786386 REV786362:REV786386 QUZ786362:QUZ786386 QLD786362:QLD786386 QBH786362:QBH786386 PRL786362:PRL786386 PHP786362:PHP786386 OXT786362:OXT786386 ONX786362:ONX786386 OEB786362:OEB786386 NUF786362:NUF786386 NKJ786362:NKJ786386 NAN786362:NAN786386 MQR786362:MQR786386 MGV786362:MGV786386 LWZ786362:LWZ786386 LND786362:LND786386 LDH786362:LDH786386 KTL786362:KTL786386 KJP786362:KJP786386 JZT786362:JZT786386 JPX786362:JPX786386 JGB786362:JGB786386 IWF786362:IWF786386 IMJ786362:IMJ786386 ICN786362:ICN786386 HSR786362:HSR786386 HIV786362:HIV786386 GYZ786362:GYZ786386 GPD786362:GPD786386 GFH786362:GFH786386 FVL786362:FVL786386 FLP786362:FLP786386 FBT786362:FBT786386 ERX786362:ERX786386 EIB786362:EIB786386 DYF786362:DYF786386 DOJ786362:DOJ786386 DEN786362:DEN786386 CUR786362:CUR786386 CKV786362:CKV786386 CAZ786362:CAZ786386 BRD786362:BRD786386 BHH786362:BHH786386 AXL786362:AXL786386 ANP786362:ANP786386 ADT786362:ADT786386 TX786362:TX786386 KB786362:KB786386 AF786362:AF786386 WWN720826:WWN720850 WMR720826:WMR720850 WCV720826:WCV720850 VSZ720826:VSZ720850 VJD720826:VJD720850 UZH720826:UZH720850 UPL720826:UPL720850 UFP720826:UFP720850 TVT720826:TVT720850 TLX720826:TLX720850 TCB720826:TCB720850 SSF720826:SSF720850 SIJ720826:SIJ720850 RYN720826:RYN720850 ROR720826:ROR720850 REV720826:REV720850 QUZ720826:QUZ720850 QLD720826:QLD720850 QBH720826:QBH720850 PRL720826:PRL720850 PHP720826:PHP720850 OXT720826:OXT720850 ONX720826:ONX720850 OEB720826:OEB720850 NUF720826:NUF720850 NKJ720826:NKJ720850 NAN720826:NAN720850 MQR720826:MQR720850 MGV720826:MGV720850 LWZ720826:LWZ720850 LND720826:LND720850 LDH720826:LDH720850 KTL720826:KTL720850 KJP720826:KJP720850 JZT720826:JZT720850 JPX720826:JPX720850 JGB720826:JGB720850 IWF720826:IWF720850 IMJ720826:IMJ720850 ICN720826:ICN720850 HSR720826:HSR720850 HIV720826:HIV720850 GYZ720826:GYZ720850 GPD720826:GPD720850 GFH720826:GFH720850 FVL720826:FVL720850 FLP720826:FLP720850 FBT720826:FBT720850 ERX720826:ERX720850 EIB720826:EIB720850 DYF720826:DYF720850 DOJ720826:DOJ720850 DEN720826:DEN720850 CUR720826:CUR720850 CKV720826:CKV720850 CAZ720826:CAZ720850 BRD720826:BRD720850 BHH720826:BHH720850 AXL720826:AXL720850 ANP720826:ANP720850 ADT720826:ADT720850 TX720826:TX720850 KB720826:KB720850 AF720826:AF720850 WWN655290:WWN655314 WMR655290:WMR655314 WCV655290:WCV655314 VSZ655290:VSZ655314 VJD655290:VJD655314 UZH655290:UZH655314 UPL655290:UPL655314 UFP655290:UFP655314 TVT655290:TVT655314 TLX655290:TLX655314 TCB655290:TCB655314 SSF655290:SSF655314 SIJ655290:SIJ655314 RYN655290:RYN655314 ROR655290:ROR655314 REV655290:REV655314 QUZ655290:QUZ655314 QLD655290:QLD655314 QBH655290:QBH655314 PRL655290:PRL655314 PHP655290:PHP655314 OXT655290:OXT655314 ONX655290:ONX655314 OEB655290:OEB655314 NUF655290:NUF655314 NKJ655290:NKJ655314 NAN655290:NAN655314 MQR655290:MQR655314 MGV655290:MGV655314 LWZ655290:LWZ655314 LND655290:LND655314 LDH655290:LDH655314 KTL655290:KTL655314 KJP655290:KJP655314 JZT655290:JZT655314 JPX655290:JPX655314 JGB655290:JGB655314 IWF655290:IWF655314 IMJ655290:IMJ655314 ICN655290:ICN655314 HSR655290:HSR655314 HIV655290:HIV655314 GYZ655290:GYZ655314 GPD655290:GPD655314 GFH655290:GFH655314 FVL655290:FVL655314 FLP655290:FLP655314 FBT655290:FBT655314 ERX655290:ERX655314 EIB655290:EIB655314 DYF655290:DYF655314 DOJ655290:DOJ655314 DEN655290:DEN655314 CUR655290:CUR655314 CKV655290:CKV655314 CAZ655290:CAZ655314 BRD655290:BRD655314 BHH655290:BHH655314 AXL655290:AXL655314 ANP655290:ANP655314 ADT655290:ADT655314 TX655290:TX655314 KB655290:KB655314 AF655290:AF655314 WWN589754:WWN589778 WMR589754:WMR589778 WCV589754:WCV589778 VSZ589754:VSZ589778 VJD589754:VJD589778 UZH589754:UZH589778 UPL589754:UPL589778 UFP589754:UFP589778 TVT589754:TVT589778 TLX589754:TLX589778 TCB589754:TCB589778 SSF589754:SSF589778 SIJ589754:SIJ589778 RYN589754:RYN589778 ROR589754:ROR589778 REV589754:REV589778 QUZ589754:QUZ589778 QLD589754:QLD589778 QBH589754:QBH589778 PRL589754:PRL589778 PHP589754:PHP589778 OXT589754:OXT589778 ONX589754:ONX589778 OEB589754:OEB589778 NUF589754:NUF589778 NKJ589754:NKJ589778 NAN589754:NAN589778 MQR589754:MQR589778 MGV589754:MGV589778 LWZ589754:LWZ589778 LND589754:LND589778 LDH589754:LDH589778 KTL589754:KTL589778 KJP589754:KJP589778 JZT589754:JZT589778 JPX589754:JPX589778 JGB589754:JGB589778 IWF589754:IWF589778 IMJ589754:IMJ589778 ICN589754:ICN589778 HSR589754:HSR589778 HIV589754:HIV589778 GYZ589754:GYZ589778 GPD589754:GPD589778 GFH589754:GFH589778 FVL589754:FVL589778 FLP589754:FLP589778 FBT589754:FBT589778 ERX589754:ERX589778 EIB589754:EIB589778 DYF589754:DYF589778 DOJ589754:DOJ589778 DEN589754:DEN589778 CUR589754:CUR589778 CKV589754:CKV589778 CAZ589754:CAZ589778 BRD589754:BRD589778 BHH589754:BHH589778 AXL589754:AXL589778 ANP589754:ANP589778 ADT589754:ADT589778 TX589754:TX589778 KB589754:KB589778 AF589754:AF589778 WWN524218:WWN524242 WMR524218:WMR524242 WCV524218:WCV524242 VSZ524218:VSZ524242 VJD524218:VJD524242 UZH524218:UZH524242 UPL524218:UPL524242 UFP524218:UFP524242 TVT524218:TVT524242 TLX524218:TLX524242 TCB524218:TCB524242 SSF524218:SSF524242 SIJ524218:SIJ524242 RYN524218:RYN524242 ROR524218:ROR524242 REV524218:REV524242 QUZ524218:QUZ524242 QLD524218:QLD524242 QBH524218:QBH524242 PRL524218:PRL524242 PHP524218:PHP524242 OXT524218:OXT524242 ONX524218:ONX524242 OEB524218:OEB524242 NUF524218:NUF524242 NKJ524218:NKJ524242 NAN524218:NAN524242 MQR524218:MQR524242 MGV524218:MGV524242 LWZ524218:LWZ524242 LND524218:LND524242 LDH524218:LDH524242 KTL524218:KTL524242 KJP524218:KJP524242 JZT524218:JZT524242 JPX524218:JPX524242 JGB524218:JGB524242 IWF524218:IWF524242 IMJ524218:IMJ524242 ICN524218:ICN524242 HSR524218:HSR524242 HIV524218:HIV524242 GYZ524218:GYZ524242 GPD524218:GPD524242 GFH524218:GFH524242 FVL524218:FVL524242 FLP524218:FLP524242 FBT524218:FBT524242 ERX524218:ERX524242 EIB524218:EIB524242 DYF524218:DYF524242 DOJ524218:DOJ524242 DEN524218:DEN524242 CUR524218:CUR524242 CKV524218:CKV524242 CAZ524218:CAZ524242 BRD524218:BRD524242 BHH524218:BHH524242 AXL524218:AXL524242 ANP524218:ANP524242 ADT524218:ADT524242 TX524218:TX524242 KB524218:KB524242 AF524218:AF524242 WWN458682:WWN458706 WMR458682:WMR458706 WCV458682:WCV458706 VSZ458682:VSZ458706 VJD458682:VJD458706 UZH458682:UZH458706 UPL458682:UPL458706 UFP458682:UFP458706 TVT458682:TVT458706 TLX458682:TLX458706 TCB458682:TCB458706 SSF458682:SSF458706 SIJ458682:SIJ458706 RYN458682:RYN458706 ROR458682:ROR458706 REV458682:REV458706 QUZ458682:QUZ458706 QLD458682:QLD458706 QBH458682:QBH458706 PRL458682:PRL458706 PHP458682:PHP458706 OXT458682:OXT458706 ONX458682:ONX458706 OEB458682:OEB458706 NUF458682:NUF458706 NKJ458682:NKJ458706 NAN458682:NAN458706 MQR458682:MQR458706 MGV458682:MGV458706 LWZ458682:LWZ458706 LND458682:LND458706 LDH458682:LDH458706 KTL458682:KTL458706 KJP458682:KJP458706 JZT458682:JZT458706 JPX458682:JPX458706 JGB458682:JGB458706 IWF458682:IWF458706 IMJ458682:IMJ458706 ICN458682:ICN458706 HSR458682:HSR458706 HIV458682:HIV458706 GYZ458682:GYZ458706 GPD458682:GPD458706 GFH458682:GFH458706 FVL458682:FVL458706 FLP458682:FLP458706 FBT458682:FBT458706 ERX458682:ERX458706 EIB458682:EIB458706 DYF458682:DYF458706 DOJ458682:DOJ458706 DEN458682:DEN458706 CUR458682:CUR458706 CKV458682:CKV458706 CAZ458682:CAZ458706 BRD458682:BRD458706 BHH458682:BHH458706 AXL458682:AXL458706 ANP458682:ANP458706 ADT458682:ADT458706 TX458682:TX458706 KB458682:KB458706 AF458682:AF458706 WWN393146:WWN393170 WMR393146:WMR393170 WCV393146:WCV393170 VSZ393146:VSZ393170 VJD393146:VJD393170 UZH393146:UZH393170 UPL393146:UPL393170 UFP393146:UFP393170 TVT393146:TVT393170 TLX393146:TLX393170 TCB393146:TCB393170 SSF393146:SSF393170 SIJ393146:SIJ393170 RYN393146:RYN393170 ROR393146:ROR393170 REV393146:REV393170 QUZ393146:QUZ393170 QLD393146:QLD393170 QBH393146:QBH393170 PRL393146:PRL393170 PHP393146:PHP393170 OXT393146:OXT393170 ONX393146:ONX393170 OEB393146:OEB393170 NUF393146:NUF393170 NKJ393146:NKJ393170 NAN393146:NAN393170 MQR393146:MQR393170 MGV393146:MGV393170 LWZ393146:LWZ393170 LND393146:LND393170 LDH393146:LDH393170 KTL393146:KTL393170 KJP393146:KJP393170 JZT393146:JZT393170 JPX393146:JPX393170 JGB393146:JGB393170 IWF393146:IWF393170 IMJ393146:IMJ393170 ICN393146:ICN393170 HSR393146:HSR393170 HIV393146:HIV393170 GYZ393146:GYZ393170 GPD393146:GPD393170 GFH393146:GFH393170 FVL393146:FVL393170 FLP393146:FLP393170 FBT393146:FBT393170 ERX393146:ERX393170 EIB393146:EIB393170 DYF393146:DYF393170 DOJ393146:DOJ393170 DEN393146:DEN393170 CUR393146:CUR393170 CKV393146:CKV393170 CAZ393146:CAZ393170 BRD393146:BRD393170 BHH393146:BHH393170 AXL393146:AXL393170 ANP393146:ANP393170 ADT393146:ADT393170 TX393146:TX393170 KB393146:KB393170 AF393146:AF393170 WWN327610:WWN327634 WMR327610:WMR327634 WCV327610:WCV327634 VSZ327610:VSZ327634 VJD327610:VJD327634 UZH327610:UZH327634 UPL327610:UPL327634 UFP327610:UFP327634 TVT327610:TVT327634 TLX327610:TLX327634 TCB327610:TCB327634 SSF327610:SSF327634 SIJ327610:SIJ327634 RYN327610:RYN327634 ROR327610:ROR327634 REV327610:REV327634 QUZ327610:QUZ327634 QLD327610:QLD327634 QBH327610:QBH327634 PRL327610:PRL327634 PHP327610:PHP327634 OXT327610:OXT327634 ONX327610:ONX327634 OEB327610:OEB327634 NUF327610:NUF327634 NKJ327610:NKJ327634 NAN327610:NAN327634 MQR327610:MQR327634 MGV327610:MGV327634 LWZ327610:LWZ327634 LND327610:LND327634 LDH327610:LDH327634 KTL327610:KTL327634 KJP327610:KJP327634 JZT327610:JZT327634 JPX327610:JPX327634 JGB327610:JGB327634 IWF327610:IWF327634 IMJ327610:IMJ327634 ICN327610:ICN327634 HSR327610:HSR327634 HIV327610:HIV327634 GYZ327610:GYZ327634 GPD327610:GPD327634 GFH327610:GFH327634 FVL327610:FVL327634 FLP327610:FLP327634 FBT327610:FBT327634 ERX327610:ERX327634 EIB327610:EIB327634 DYF327610:DYF327634 DOJ327610:DOJ327634 DEN327610:DEN327634 CUR327610:CUR327634 CKV327610:CKV327634 CAZ327610:CAZ327634 BRD327610:BRD327634 BHH327610:BHH327634 AXL327610:AXL327634 ANP327610:ANP327634 ADT327610:ADT327634 TX327610:TX327634 KB327610:KB327634 AF327610:AF327634 WWN262074:WWN262098 WMR262074:WMR262098 WCV262074:WCV262098 VSZ262074:VSZ262098 VJD262074:VJD262098 UZH262074:UZH262098 UPL262074:UPL262098 UFP262074:UFP262098 TVT262074:TVT262098 TLX262074:TLX262098 TCB262074:TCB262098 SSF262074:SSF262098 SIJ262074:SIJ262098 RYN262074:RYN262098 ROR262074:ROR262098 REV262074:REV262098 QUZ262074:QUZ262098 QLD262074:QLD262098 QBH262074:QBH262098 PRL262074:PRL262098 PHP262074:PHP262098 OXT262074:OXT262098 ONX262074:ONX262098 OEB262074:OEB262098 NUF262074:NUF262098 NKJ262074:NKJ262098 NAN262074:NAN262098 MQR262074:MQR262098 MGV262074:MGV262098 LWZ262074:LWZ262098 LND262074:LND262098 LDH262074:LDH262098 KTL262074:KTL262098 KJP262074:KJP262098 JZT262074:JZT262098 JPX262074:JPX262098 JGB262074:JGB262098 IWF262074:IWF262098 IMJ262074:IMJ262098 ICN262074:ICN262098 HSR262074:HSR262098 HIV262074:HIV262098 GYZ262074:GYZ262098 GPD262074:GPD262098 GFH262074:GFH262098 FVL262074:FVL262098 FLP262074:FLP262098 FBT262074:FBT262098 ERX262074:ERX262098 EIB262074:EIB262098 DYF262074:DYF262098 DOJ262074:DOJ262098 DEN262074:DEN262098 CUR262074:CUR262098 CKV262074:CKV262098 CAZ262074:CAZ262098 BRD262074:BRD262098 BHH262074:BHH262098 AXL262074:AXL262098 ANP262074:ANP262098 ADT262074:ADT262098 TX262074:TX262098 KB262074:KB262098 AF262074:AF262098 WWN196538:WWN196562 WMR196538:WMR196562 WCV196538:WCV196562 VSZ196538:VSZ196562 VJD196538:VJD196562 UZH196538:UZH196562 UPL196538:UPL196562 UFP196538:UFP196562 TVT196538:TVT196562 TLX196538:TLX196562 TCB196538:TCB196562 SSF196538:SSF196562 SIJ196538:SIJ196562 RYN196538:RYN196562 ROR196538:ROR196562 REV196538:REV196562 QUZ196538:QUZ196562 QLD196538:QLD196562 QBH196538:QBH196562 PRL196538:PRL196562 PHP196538:PHP196562 OXT196538:OXT196562 ONX196538:ONX196562 OEB196538:OEB196562 NUF196538:NUF196562 NKJ196538:NKJ196562 NAN196538:NAN196562 MQR196538:MQR196562 MGV196538:MGV196562 LWZ196538:LWZ196562 LND196538:LND196562 LDH196538:LDH196562 KTL196538:KTL196562 KJP196538:KJP196562 JZT196538:JZT196562 JPX196538:JPX196562 JGB196538:JGB196562 IWF196538:IWF196562 IMJ196538:IMJ196562 ICN196538:ICN196562 HSR196538:HSR196562 HIV196538:HIV196562 GYZ196538:GYZ196562 GPD196538:GPD196562 GFH196538:GFH196562 FVL196538:FVL196562 FLP196538:FLP196562 FBT196538:FBT196562 ERX196538:ERX196562 EIB196538:EIB196562 DYF196538:DYF196562 DOJ196538:DOJ196562 DEN196538:DEN196562 CUR196538:CUR196562 CKV196538:CKV196562 CAZ196538:CAZ196562 BRD196538:BRD196562 BHH196538:BHH196562 AXL196538:AXL196562 ANP196538:ANP196562 ADT196538:ADT196562 TX196538:TX196562 KB196538:KB196562 AF196538:AF196562 WWN131002:WWN131026 WMR131002:WMR131026 WCV131002:WCV131026 VSZ131002:VSZ131026 VJD131002:VJD131026 UZH131002:UZH131026 UPL131002:UPL131026 UFP131002:UFP131026 TVT131002:TVT131026 TLX131002:TLX131026 TCB131002:TCB131026 SSF131002:SSF131026 SIJ131002:SIJ131026 RYN131002:RYN131026 ROR131002:ROR131026 REV131002:REV131026 QUZ131002:QUZ131026 QLD131002:QLD131026 QBH131002:QBH131026 PRL131002:PRL131026 PHP131002:PHP131026 OXT131002:OXT131026 ONX131002:ONX131026 OEB131002:OEB131026 NUF131002:NUF131026 NKJ131002:NKJ131026 NAN131002:NAN131026 MQR131002:MQR131026 MGV131002:MGV131026 LWZ131002:LWZ131026 LND131002:LND131026 LDH131002:LDH131026 KTL131002:KTL131026 KJP131002:KJP131026 JZT131002:JZT131026 JPX131002:JPX131026 JGB131002:JGB131026 IWF131002:IWF131026 IMJ131002:IMJ131026 ICN131002:ICN131026 HSR131002:HSR131026 HIV131002:HIV131026 GYZ131002:GYZ131026 GPD131002:GPD131026 GFH131002:GFH131026 FVL131002:FVL131026 FLP131002:FLP131026 FBT131002:FBT131026 ERX131002:ERX131026 EIB131002:EIB131026 DYF131002:DYF131026 DOJ131002:DOJ131026 DEN131002:DEN131026 CUR131002:CUR131026 CKV131002:CKV131026 CAZ131002:CAZ131026 BRD131002:BRD131026 BHH131002:BHH131026 AXL131002:AXL131026 ANP131002:ANP131026 ADT131002:ADT131026 TX131002:TX131026 KB131002:KB131026 AF131002:AF131026 WWN65466:WWN65490 WMR65466:WMR65490 WCV65466:WCV65490 VSZ65466:VSZ65490 VJD65466:VJD65490 UZH65466:UZH65490 UPL65466:UPL65490 UFP65466:UFP65490 TVT65466:TVT65490 TLX65466:TLX65490 TCB65466:TCB65490 SSF65466:SSF65490 SIJ65466:SIJ65490 RYN65466:RYN65490 ROR65466:ROR65490 REV65466:REV65490 QUZ65466:QUZ65490 QLD65466:QLD65490 QBH65466:QBH65490 PRL65466:PRL65490 PHP65466:PHP65490 OXT65466:OXT65490 ONX65466:ONX65490 OEB65466:OEB65490 NUF65466:NUF65490 NKJ65466:NKJ65490 NAN65466:NAN65490 MQR65466:MQR65490 MGV65466:MGV65490 LWZ65466:LWZ65490 LND65466:LND65490 LDH65466:LDH65490 KTL65466:KTL65490 KJP65466:KJP65490 JZT65466:JZT65490 JPX65466:JPX65490 JGB65466:JGB65490 IWF65466:IWF65490 IMJ65466:IMJ65490 ICN65466:ICN65490 HSR65466:HSR65490 HIV65466:HIV65490 GYZ65466:GYZ65490 GPD65466:GPD65490 GFH65466:GFH65490 FVL65466:FVL65490 FLP65466:FLP65490 FBT65466:FBT65490 ERX65466:ERX65490 EIB65466:EIB65490 DYF65466:DYF65490 DOJ65466:DOJ65490 DEN65466:DEN65490 CUR65466:CUR65490 CKV65466:CKV65490 CAZ65466:CAZ65490 BRD65466:BRD65490 BHH65466:BHH65490 AXL65466:AXL65490 ANP65466:ANP65490 ADT65466:ADT65490 TX65466:TX65490 KB65466:KB65490 AF65466:AF65490 WWJ982970:WWJ982994 WMN982970:WMN982994 WCR982970:WCR982994 VSV982970:VSV982994 VIZ982970:VIZ982994 UZD982970:UZD982994 UPH982970:UPH982994 UFL982970:UFL982994 TVP982970:TVP982994 TLT982970:TLT982994 TBX982970:TBX982994 SSB982970:SSB982994 SIF982970:SIF982994 RYJ982970:RYJ982994 RON982970:RON982994 RER982970:RER982994 QUV982970:QUV982994 QKZ982970:QKZ982994 QBD982970:QBD982994 PRH982970:PRH982994 PHL982970:PHL982994 OXP982970:OXP982994 ONT982970:ONT982994 ODX982970:ODX982994 NUB982970:NUB982994 NKF982970:NKF982994 NAJ982970:NAJ982994 MQN982970:MQN982994 MGR982970:MGR982994 LWV982970:LWV982994 LMZ982970:LMZ982994 LDD982970:LDD982994 KTH982970:KTH982994 KJL982970:KJL982994 JZP982970:JZP982994 JPT982970:JPT982994 JFX982970:JFX982994 IWB982970:IWB982994 IMF982970:IMF982994 ICJ982970:ICJ982994 HSN982970:HSN982994 HIR982970:HIR982994 GYV982970:GYV982994 GOZ982970:GOZ982994 GFD982970:GFD982994 FVH982970:FVH982994 FLL982970:FLL982994 FBP982970:FBP982994 ERT982970:ERT982994 EHX982970:EHX982994 DYB982970:DYB982994 DOF982970:DOF982994 DEJ982970:DEJ982994 CUN982970:CUN982994 CKR982970:CKR982994 CAV982970:CAV982994 BQZ982970:BQZ982994 BHD982970:BHD982994 AXH982970:AXH982994 ANL982970:ANL982994 ADP982970:ADP982994 TT982970:TT982994 JX982970:JX982994 AB982970:AB982994 WWJ917434:WWJ917458 WMN917434:WMN917458 WCR917434:WCR917458 VSV917434:VSV917458 VIZ917434:VIZ917458 UZD917434:UZD917458 UPH917434:UPH917458 UFL917434:UFL917458 TVP917434:TVP917458 TLT917434:TLT917458 TBX917434:TBX917458 SSB917434:SSB917458 SIF917434:SIF917458 RYJ917434:RYJ917458 RON917434:RON917458 RER917434:RER917458 QUV917434:QUV917458 QKZ917434:QKZ917458 QBD917434:QBD917458 PRH917434:PRH917458 PHL917434:PHL917458 OXP917434:OXP917458 ONT917434:ONT917458 ODX917434:ODX917458 NUB917434:NUB917458 NKF917434:NKF917458 NAJ917434:NAJ917458 MQN917434:MQN917458 MGR917434:MGR917458 LWV917434:LWV917458 LMZ917434:LMZ917458 LDD917434:LDD917458 KTH917434:KTH917458 KJL917434:KJL917458 JZP917434:JZP917458 JPT917434:JPT917458 JFX917434:JFX917458 IWB917434:IWB917458 IMF917434:IMF917458 ICJ917434:ICJ917458 HSN917434:HSN917458 HIR917434:HIR917458 GYV917434:GYV917458 GOZ917434:GOZ917458 GFD917434:GFD917458 FVH917434:FVH917458 FLL917434:FLL917458 FBP917434:FBP917458 ERT917434:ERT917458 EHX917434:EHX917458 DYB917434:DYB917458 DOF917434:DOF917458 DEJ917434:DEJ917458 CUN917434:CUN917458 CKR917434:CKR917458 CAV917434:CAV917458 BQZ917434:BQZ917458 BHD917434:BHD917458 AXH917434:AXH917458 ANL917434:ANL917458 ADP917434:ADP917458 TT917434:TT917458 JX917434:JX917458 AB917434:AB917458 WWJ851898:WWJ851922 WMN851898:WMN851922 WCR851898:WCR851922 VSV851898:VSV851922 VIZ851898:VIZ851922 UZD851898:UZD851922 UPH851898:UPH851922 UFL851898:UFL851922 TVP851898:TVP851922 TLT851898:TLT851922 TBX851898:TBX851922 SSB851898:SSB851922 SIF851898:SIF851922 RYJ851898:RYJ851922 RON851898:RON851922 RER851898:RER851922 QUV851898:QUV851922 QKZ851898:QKZ851922 QBD851898:QBD851922 PRH851898:PRH851922 PHL851898:PHL851922 OXP851898:OXP851922 ONT851898:ONT851922 ODX851898:ODX851922 NUB851898:NUB851922 NKF851898:NKF851922 NAJ851898:NAJ851922 MQN851898:MQN851922 MGR851898:MGR851922 LWV851898:LWV851922 LMZ851898:LMZ851922 LDD851898:LDD851922 KTH851898:KTH851922 KJL851898:KJL851922 JZP851898:JZP851922 JPT851898:JPT851922 JFX851898:JFX851922 IWB851898:IWB851922 IMF851898:IMF851922 ICJ851898:ICJ851922 HSN851898:HSN851922 HIR851898:HIR851922 GYV851898:GYV851922 GOZ851898:GOZ851922 GFD851898:GFD851922 FVH851898:FVH851922 FLL851898:FLL851922 FBP851898:FBP851922 ERT851898:ERT851922 EHX851898:EHX851922 DYB851898:DYB851922 DOF851898:DOF851922 DEJ851898:DEJ851922 CUN851898:CUN851922 CKR851898:CKR851922 CAV851898:CAV851922 BQZ851898:BQZ851922 BHD851898:BHD851922 AXH851898:AXH851922 ANL851898:ANL851922 ADP851898:ADP851922 TT851898:TT851922 JX851898:JX851922 AB851898:AB851922 WWJ786362:WWJ786386 WMN786362:WMN786386 WCR786362:WCR786386 VSV786362:VSV786386 VIZ786362:VIZ786386 UZD786362:UZD786386 UPH786362:UPH786386 UFL786362:UFL786386 TVP786362:TVP786386 TLT786362:TLT786386 TBX786362:TBX786386 SSB786362:SSB786386 SIF786362:SIF786386 RYJ786362:RYJ786386 RON786362:RON786386 RER786362:RER786386 QUV786362:QUV786386 QKZ786362:QKZ786386 QBD786362:QBD786386 PRH786362:PRH786386 PHL786362:PHL786386 OXP786362:OXP786386 ONT786362:ONT786386 ODX786362:ODX786386 NUB786362:NUB786386 NKF786362:NKF786386 NAJ786362:NAJ786386 MQN786362:MQN786386 MGR786362:MGR786386 LWV786362:LWV786386 LMZ786362:LMZ786386 LDD786362:LDD786386 KTH786362:KTH786386 KJL786362:KJL786386 JZP786362:JZP786386 JPT786362:JPT786386 JFX786362:JFX786386 IWB786362:IWB786386 IMF786362:IMF786386 ICJ786362:ICJ786386 HSN786362:HSN786386 HIR786362:HIR786386 GYV786362:GYV786386 GOZ786362:GOZ786386 GFD786362:GFD786386 FVH786362:FVH786386 FLL786362:FLL786386 FBP786362:FBP786386 ERT786362:ERT786386 EHX786362:EHX786386 DYB786362:DYB786386 DOF786362:DOF786386 DEJ786362:DEJ786386 CUN786362:CUN786386 CKR786362:CKR786386 CAV786362:CAV786386 BQZ786362:BQZ786386 BHD786362:BHD786386 AXH786362:AXH786386 ANL786362:ANL786386 ADP786362:ADP786386 TT786362:TT786386 JX786362:JX786386 AB786362:AB786386 WWJ720826:WWJ720850 WMN720826:WMN720850 WCR720826:WCR720850 VSV720826:VSV720850 VIZ720826:VIZ720850 UZD720826:UZD720850 UPH720826:UPH720850 UFL720826:UFL720850 TVP720826:TVP720850 TLT720826:TLT720850 TBX720826:TBX720850 SSB720826:SSB720850 SIF720826:SIF720850 RYJ720826:RYJ720850 RON720826:RON720850 RER720826:RER720850 QUV720826:QUV720850 QKZ720826:QKZ720850 QBD720826:QBD720850 PRH720826:PRH720850 PHL720826:PHL720850 OXP720826:OXP720850 ONT720826:ONT720850 ODX720826:ODX720850 NUB720826:NUB720850 NKF720826:NKF720850 NAJ720826:NAJ720850 MQN720826:MQN720850 MGR720826:MGR720850 LWV720826:LWV720850 LMZ720826:LMZ720850 LDD720826:LDD720850 KTH720826:KTH720850 KJL720826:KJL720850 JZP720826:JZP720850 JPT720826:JPT720850 JFX720826:JFX720850 IWB720826:IWB720850 IMF720826:IMF720850 ICJ720826:ICJ720850 HSN720826:HSN720850 HIR720826:HIR720850 GYV720826:GYV720850 GOZ720826:GOZ720850 GFD720826:GFD720850 FVH720826:FVH720850 FLL720826:FLL720850 FBP720826:FBP720850 ERT720826:ERT720850 EHX720826:EHX720850 DYB720826:DYB720850 DOF720826:DOF720850 DEJ720826:DEJ720850 CUN720826:CUN720850 CKR720826:CKR720850 CAV720826:CAV720850 BQZ720826:BQZ720850 BHD720826:BHD720850 AXH720826:AXH720850 ANL720826:ANL720850 ADP720826:ADP720850 TT720826:TT720850 JX720826:JX720850 AB720826:AB720850 WWJ655290:WWJ655314 WMN655290:WMN655314 WCR655290:WCR655314 VSV655290:VSV655314 VIZ655290:VIZ655314 UZD655290:UZD655314 UPH655290:UPH655314 UFL655290:UFL655314 TVP655290:TVP655314 TLT655290:TLT655314 TBX655290:TBX655314 SSB655290:SSB655314 SIF655290:SIF655314 RYJ655290:RYJ655314 RON655290:RON655314 RER655290:RER655314 QUV655290:QUV655314 QKZ655290:QKZ655314 QBD655290:QBD655314 PRH655290:PRH655314 PHL655290:PHL655314 OXP655290:OXP655314 ONT655290:ONT655314 ODX655290:ODX655314 NUB655290:NUB655314 NKF655290:NKF655314 NAJ655290:NAJ655314 MQN655290:MQN655314 MGR655290:MGR655314 LWV655290:LWV655314 LMZ655290:LMZ655314 LDD655290:LDD655314 KTH655290:KTH655314 KJL655290:KJL655314 JZP655290:JZP655314 JPT655290:JPT655314 JFX655290:JFX655314 IWB655290:IWB655314 IMF655290:IMF655314 ICJ655290:ICJ655314 HSN655290:HSN655314 HIR655290:HIR655314 GYV655290:GYV655314 GOZ655290:GOZ655314 GFD655290:GFD655314 FVH655290:FVH655314 FLL655290:FLL655314 FBP655290:FBP655314 ERT655290:ERT655314 EHX655290:EHX655314 DYB655290:DYB655314 DOF655290:DOF655314 DEJ655290:DEJ655314 CUN655290:CUN655314 CKR655290:CKR655314 CAV655290:CAV655314 BQZ655290:BQZ655314 BHD655290:BHD655314 AXH655290:AXH655314 ANL655290:ANL655314 ADP655290:ADP655314 TT655290:TT655314 JX655290:JX655314 AB655290:AB655314 WWJ589754:WWJ589778 WMN589754:WMN589778 WCR589754:WCR589778 VSV589754:VSV589778 VIZ589754:VIZ589778 UZD589754:UZD589778 UPH589754:UPH589778 UFL589754:UFL589778 TVP589754:TVP589778 TLT589754:TLT589778 TBX589754:TBX589778 SSB589754:SSB589778 SIF589754:SIF589778 RYJ589754:RYJ589778 RON589754:RON589778 RER589754:RER589778 QUV589754:QUV589778 QKZ589754:QKZ589778 QBD589754:QBD589778 PRH589754:PRH589778 PHL589754:PHL589778 OXP589754:OXP589778 ONT589754:ONT589778 ODX589754:ODX589778 NUB589754:NUB589778 NKF589754:NKF589778 NAJ589754:NAJ589778 MQN589754:MQN589778 MGR589754:MGR589778 LWV589754:LWV589778 LMZ589754:LMZ589778 LDD589754:LDD589778 KTH589754:KTH589778 KJL589754:KJL589778 JZP589754:JZP589778 JPT589754:JPT589778 JFX589754:JFX589778 IWB589754:IWB589778 IMF589754:IMF589778 ICJ589754:ICJ589778 HSN589754:HSN589778 HIR589754:HIR589778 GYV589754:GYV589778 GOZ589754:GOZ589778 GFD589754:GFD589778 FVH589754:FVH589778 FLL589754:FLL589778 FBP589754:FBP589778 ERT589754:ERT589778 EHX589754:EHX589778 DYB589754:DYB589778 DOF589754:DOF589778 DEJ589754:DEJ589778 CUN589754:CUN589778 CKR589754:CKR589778 CAV589754:CAV589778 BQZ589754:BQZ589778 BHD589754:BHD589778 AXH589754:AXH589778 ANL589754:ANL589778 ADP589754:ADP589778 TT589754:TT589778 JX589754:JX589778 AB589754:AB589778 WWJ524218:WWJ524242 WMN524218:WMN524242 WCR524218:WCR524242 VSV524218:VSV524242 VIZ524218:VIZ524242 UZD524218:UZD524242 UPH524218:UPH524242 UFL524218:UFL524242 TVP524218:TVP524242 TLT524218:TLT524242 TBX524218:TBX524242 SSB524218:SSB524242 SIF524218:SIF524242 RYJ524218:RYJ524242 RON524218:RON524242 RER524218:RER524242 QUV524218:QUV524242 QKZ524218:QKZ524242 QBD524218:QBD524242 PRH524218:PRH524242 PHL524218:PHL524242 OXP524218:OXP524242 ONT524218:ONT524242 ODX524218:ODX524242 NUB524218:NUB524242 NKF524218:NKF524242 NAJ524218:NAJ524242 MQN524218:MQN524242 MGR524218:MGR524242 LWV524218:LWV524242 LMZ524218:LMZ524242 LDD524218:LDD524242 KTH524218:KTH524242 KJL524218:KJL524242 JZP524218:JZP524242 JPT524218:JPT524242 JFX524218:JFX524242 IWB524218:IWB524242 IMF524218:IMF524242 ICJ524218:ICJ524242 HSN524218:HSN524242 HIR524218:HIR524242 GYV524218:GYV524242 GOZ524218:GOZ524242 GFD524218:GFD524242 FVH524218:FVH524242 FLL524218:FLL524242 FBP524218:FBP524242 ERT524218:ERT524242 EHX524218:EHX524242 DYB524218:DYB524242 DOF524218:DOF524242 DEJ524218:DEJ524242 CUN524218:CUN524242 CKR524218:CKR524242 CAV524218:CAV524242 BQZ524218:BQZ524242 BHD524218:BHD524242 AXH524218:AXH524242 ANL524218:ANL524242 ADP524218:ADP524242 TT524218:TT524242 JX524218:JX524242 AB524218:AB524242 WWJ458682:WWJ458706 WMN458682:WMN458706 WCR458682:WCR458706 VSV458682:VSV458706 VIZ458682:VIZ458706 UZD458682:UZD458706 UPH458682:UPH458706 UFL458682:UFL458706 TVP458682:TVP458706 TLT458682:TLT458706 TBX458682:TBX458706 SSB458682:SSB458706 SIF458682:SIF458706 RYJ458682:RYJ458706 RON458682:RON458706 RER458682:RER458706 QUV458682:QUV458706 QKZ458682:QKZ458706 QBD458682:QBD458706 PRH458682:PRH458706 PHL458682:PHL458706 OXP458682:OXP458706 ONT458682:ONT458706 ODX458682:ODX458706 NUB458682:NUB458706 NKF458682:NKF458706 NAJ458682:NAJ458706 MQN458682:MQN458706 MGR458682:MGR458706 LWV458682:LWV458706 LMZ458682:LMZ458706 LDD458682:LDD458706 KTH458682:KTH458706 KJL458682:KJL458706 JZP458682:JZP458706 JPT458682:JPT458706 JFX458682:JFX458706 IWB458682:IWB458706 IMF458682:IMF458706 ICJ458682:ICJ458706 HSN458682:HSN458706 HIR458682:HIR458706 GYV458682:GYV458706 GOZ458682:GOZ458706 GFD458682:GFD458706 FVH458682:FVH458706 FLL458682:FLL458706 FBP458682:FBP458706 ERT458682:ERT458706 EHX458682:EHX458706 DYB458682:DYB458706 DOF458682:DOF458706 DEJ458682:DEJ458706 CUN458682:CUN458706 CKR458682:CKR458706 CAV458682:CAV458706 BQZ458682:BQZ458706 BHD458682:BHD458706 AXH458682:AXH458706 ANL458682:ANL458706 ADP458682:ADP458706 TT458682:TT458706 JX458682:JX458706 AB458682:AB458706 WWJ393146:WWJ393170 WMN393146:WMN393170 WCR393146:WCR393170 VSV393146:VSV393170 VIZ393146:VIZ393170 UZD393146:UZD393170 UPH393146:UPH393170 UFL393146:UFL393170 TVP393146:TVP393170 TLT393146:TLT393170 TBX393146:TBX393170 SSB393146:SSB393170 SIF393146:SIF393170 RYJ393146:RYJ393170 RON393146:RON393170 RER393146:RER393170 QUV393146:QUV393170 QKZ393146:QKZ393170 QBD393146:QBD393170 PRH393146:PRH393170 PHL393146:PHL393170 OXP393146:OXP393170 ONT393146:ONT393170 ODX393146:ODX393170 NUB393146:NUB393170 NKF393146:NKF393170 NAJ393146:NAJ393170 MQN393146:MQN393170 MGR393146:MGR393170 LWV393146:LWV393170 LMZ393146:LMZ393170 LDD393146:LDD393170 KTH393146:KTH393170 KJL393146:KJL393170 JZP393146:JZP393170 JPT393146:JPT393170 JFX393146:JFX393170 IWB393146:IWB393170 IMF393146:IMF393170 ICJ393146:ICJ393170 HSN393146:HSN393170 HIR393146:HIR393170 GYV393146:GYV393170 GOZ393146:GOZ393170 GFD393146:GFD393170 FVH393146:FVH393170 FLL393146:FLL393170 FBP393146:FBP393170 ERT393146:ERT393170 EHX393146:EHX393170 DYB393146:DYB393170 DOF393146:DOF393170 DEJ393146:DEJ393170 CUN393146:CUN393170 CKR393146:CKR393170 CAV393146:CAV393170 BQZ393146:BQZ393170 BHD393146:BHD393170 AXH393146:AXH393170 ANL393146:ANL393170 ADP393146:ADP393170 TT393146:TT393170 JX393146:JX393170 AB393146:AB393170 WWJ327610:WWJ327634 WMN327610:WMN327634 WCR327610:WCR327634 VSV327610:VSV327634 VIZ327610:VIZ327634 UZD327610:UZD327634 UPH327610:UPH327634 UFL327610:UFL327634 TVP327610:TVP327634 TLT327610:TLT327634 TBX327610:TBX327634 SSB327610:SSB327634 SIF327610:SIF327634 RYJ327610:RYJ327634 RON327610:RON327634 RER327610:RER327634 QUV327610:QUV327634 QKZ327610:QKZ327634 QBD327610:QBD327634 PRH327610:PRH327634 PHL327610:PHL327634 OXP327610:OXP327634 ONT327610:ONT327634 ODX327610:ODX327634 NUB327610:NUB327634 NKF327610:NKF327634 NAJ327610:NAJ327634 MQN327610:MQN327634 MGR327610:MGR327634 LWV327610:LWV327634 LMZ327610:LMZ327634 LDD327610:LDD327634 KTH327610:KTH327634 KJL327610:KJL327634 JZP327610:JZP327634 JPT327610:JPT327634 JFX327610:JFX327634 IWB327610:IWB327634 IMF327610:IMF327634 ICJ327610:ICJ327634 HSN327610:HSN327634 HIR327610:HIR327634 GYV327610:GYV327634 GOZ327610:GOZ327634 GFD327610:GFD327634 FVH327610:FVH327634 FLL327610:FLL327634 FBP327610:FBP327634 ERT327610:ERT327634 EHX327610:EHX327634 DYB327610:DYB327634 DOF327610:DOF327634 DEJ327610:DEJ327634 CUN327610:CUN327634 CKR327610:CKR327634 CAV327610:CAV327634 BQZ327610:BQZ327634 BHD327610:BHD327634 AXH327610:AXH327634 ANL327610:ANL327634 ADP327610:ADP327634 TT327610:TT327634 JX327610:JX327634 AB327610:AB327634 WWJ262074:WWJ262098 WMN262074:WMN262098 WCR262074:WCR262098 VSV262074:VSV262098 VIZ262074:VIZ262098 UZD262074:UZD262098 UPH262074:UPH262098 UFL262074:UFL262098 TVP262074:TVP262098 TLT262074:TLT262098 TBX262074:TBX262098 SSB262074:SSB262098 SIF262074:SIF262098 RYJ262074:RYJ262098 RON262074:RON262098 RER262074:RER262098 QUV262074:QUV262098 QKZ262074:QKZ262098 QBD262074:QBD262098 PRH262074:PRH262098 PHL262074:PHL262098 OXP262074:OXP262098 ONT262074:ONT262098 ODX262074:ODX262098 NUB262074:NUB262098 NKF262074:NKF262098 NAJ262074:NAJ262098 MQN262074:MQN262098 MGR262074:MGR262098 LWV262074:LWV262098 LMZ262074:LMZ262098 LDD262074:LDD262098 KTH262074:KTH262098 KJL262074:KJL262098 JZP262074:JZP262098 JPT262074:JPT262098 JFX262074:JFX262098 IWB262074:IWB262098 IMF262074:IMF262098 ICJ262074:ICJ262098 HSN262074:HSN262098 HIR262074:HIR262098 GYV262074:GYV262098 GOZ262074:GOZ262098 GFD262074:GFD262098 FVH262074:FVH262098 FLL262074:FLL262098 FBP262074:FBP262098 ERT262074:ERT262098 EHX262074:EHX262098 DYB262074:DYB262098 DOF262074:DOF262098 DEJ262074:DEJ262098 CUN262074:CUN262098 CKR262074:CKR262098 CAV262074:CAV262098 BQZ262074:BQZ262098 BHD262074:BHD262098 AXH262074:AXH262098 ANL262074:ANL262098 ADP262074:ADP262098 TT262074:TT262098 JX262074:JX262098 AB262074:AB262098 WWJ196538:WWJ196562 WMN196538:WMN196562 WCR196538:WCR196562 VSV196538:VSV196562 VIZ196538:VIZ196562 UZD196538:UZD196562 UPH196538:UPH196562 UFL196538:UFL196562 TVP196538:TVP196562 TLT196538:TLT196562 TBX196538:TBX196562 SSB196538:SSB196562 SIF196538:SIF196562 RYJ196538:RYJ196562 RON196538:RON196562 RER196538:RER196562 QUV196538:QUV196562 QKZ196538:QKZ196562 QBD196538:QBD196562 PRH196538:PRH196562 PHL196538:PHL196562 OXP196538:OXP196562 ONT196538:ONT196562 ODX196538:ODX196562 NUB196538:NUB196562 NKF196538:NKF196562 NAJ196538:NAJ196562 MQN196538:MQN196562 MGR196538:MGR196562 LWV196538:LWV196562 LMZ196538:LMZ196562 LDD196538:LDD196562 KTH196538:KTH196562 KJL196538:KJL196562 JZP196538:JZP196562 JPT196538:JPT196562 JFX196538:JFX196562 IWB196538:IWB196562 IMF196538:IMF196562 ICJ196538:ICJ196562 HSN196538:HSN196562 HIR196538:HIR196562 GYV196538:GYV196562 GOZ196538:GOZ196562 GFD196538:GFD196562 FVH196538:FVH196562 FLL196538:FLL196562 FBP196538:FBP196562 ERT196538:ERT196562 EHX196538:EHX196562 DYB196538:DYB196562 DOF196538:DOF196562 DEJ196538:DEJ196562 CUN196538:CUN196562 CKR196538:CKR196562 CAV196538:CAV196562 BQZ196538:BQZ196562 BHD196538:BHD196562 AXH196538:AXH196562 ANL196538:ANL196562 ADP196538:ADP196562 TT196538:TT196562 JX196538:JX196562 AB196538:AB196562 WWJ131002:WWJ131026 WMN131002:WMN131026 WCR131002:WCR131026 VSV131002:VSV131026 VIZ131002:VIZ131026 UZD131002:UZD131026 UPH131002:UPH131026 UFL131002:UFL131026 TVP131002:TVP131026 TLT131002:TLT131026 TBX131002:TBX131026 SSB131002:SSB131026 SIF131002:SIF131026 RYJ131002:RYJ131026 RON131002:RON131026 RER131002:RER131026 QUV131002:QUV131026 QKZ131002:QKZ131026 QBD131002:QBD131026 PRH131002:PRH131026 PHL131002:PHL131026 OXP131002:OXP131026 ONT131002:ONT131026 ODX131002:ODX131026 NUB131002:NUB131026 NKF131002:NKF131026 NAJ131002:NAJ131026 MQN131002:MQN131026 MGR131002:MGR131026 LWV131002:LWV131026 LMZ131002:LMZ131026 LDD131002:LDD131026 KTH131002:KTH131026 KJL131002:KJL131026 JZP131002:JZP131026 JPT131002:JPT131026 JFX131002:JFX131026 IWB131002:IWB131026 IMF131002:IMF131026 ICJ131002:ICJ131026 HSN131002:HSN131026 HIR131002:HIR131026 GYV131002:GYV131026 GOZ131002:GOZ131026 GFD131002:GFD131026 FVH131002:FVH131026 FLL131002:FLL131026 FBP131002:FBP131026 ERT131002:ERT131026 EHX131002:EHX131026 DYB131002:DYB131026 DOF131002:DOF131026 DEJ131002:DEJ131026 CUN131002:CUN131026 CKR131002:CKR131026 CAV131002:CAV131026 BQZ131002:BQZ131026 BHD131002:BHD131026 AXH131002:AXH131026 ANL131002:ANL131026 ADP131002:ADP131026 TT131002:TT131026 JX131002:JX131026 AB131002:AB131026 WWJ65466:WWJ65490 WMN65466:WMN65490 WCR65466:WCR65490 VSV65466:VSV65490 VIZ65466:VIZ65490 UZD65466:UZD65490 UPH65466:UPH65490 UFL65466:UFL65490 TVP65466:TVP65490 TLT65466:TLT65490 TBX65466:TBX65490 SSB65466:SSB65490 SIF65466:SIF65490 RYJ65466:RYJ65490 RON65466:RON65490 RER65466:RER65490 QUV65466:QUV65490 QKZ65466:QKZ65490 QBD65466:QBD65490 PRH65466:PRH65490 PHL65466:PHL65490 OXP65466:OXP65490 ONT65466:ONT65490 ODX65466:ODX65490 NUB65466:NUB65490 NKF65466:NKF65490 NAJ65466:NAJ65490 MQN65466:MQN65490 MGR65466:MGR65490 LWV65466:LWV65490 LMZ65466:LMZ65490 LDD65466:LDD65490 KTH65466:KTH65490 KJL65466:KJL65490 JZP65466:JZP65490 JPT65466:JPT65490 JFX65466:JFX65490 IWB65466:IWB65490 IMF65466:IMF65490 ICJ65466:ICJ65490 HSN65466:HSN65490 HIR65466:HIR65490 GYV65466:GYV65490 GOZ65466:GOZ65490 GFD65466:GFD65490 FVH65466:FVH65490 FLL65466:FLL65490 FBP65466:FBP65490 ERT65466:ERT65490 EHX65466:EHX65490 DYB65466:DYB65490 DOF65466:DOF65490 DEJ65466:DEJ65490 CUN65466:CUN65490 CKR65466:CKR65490 CAV65466:CAV65490 BQZ65466:BQZ65490 BHD65466:BHD65490 AXH65466:AXH65490 ANL65466:ANL65490 ADP65466:ADP65490 TT65466:TT65490 JX65466:JX65490 AB65466:AB65490 WWF982970:WWF982994 WMJ982970:WMJ982994 WCN982970:WCN982994 VSR982970:VSR982994 VIV982970:VIV982994 UYZ982970:UYZ982994 UPD982970:UPD982994 UFH982970:UFH982994 TVL982970:TVL982994 TLP982970:TLP982994 TBT982970:TBT982994 SRX982970:SRX982994 SIB982970:SIB982994 RYF982970:RYF982994 ROJ982970:ROJ982994 REN982970:REN982994 QUR982970:QUR982994 QKV982970:QKV982994 QAZ982970:QAZ982994 PRD982970:PRD982994 PHH982970:PHH982994 OXL982970:OXL982994 ONP982970:ONP982994 ODT982970:ODT982994 NTX982970:NTX982994 NKB982970:NKB982994 NAF982970:NAF982994 MQJ982970:MQJ982994 MGN982970:MGN982994 LWR982970:LWR982994 LMV982970:LMV982994 LCZ982970:LCZ982994 KTD982970:KTD982994 KJH982970:KJH982994 JZL982970:JZL982994 JPP982970:JPP982994 JFT982970:JFT982994 IVX982970:IVX982994 IMB982970:IMB982994 ICF982970:ICF982994 HSJ982970:HSJ982994 HIN982970:HIN982994 GYR982970:GYR982994 GOV982970:GOV982994 GEZ982970:GEZ982994 FVD982970:FVD982994 FLH982970:FLH982994 FBL982970:FBL982994 ERP982970:ERP982994 EHT982970:EHT982994 DXX982970:DXX982994 DOB982970:DOB982994 DEF982970:DEF982994 CUJ982970:CUJ982994 CKN982970:CKN982994 CAR982970:CAR982994 BQV982970:BQV982994 BGZ982970:BGZ982994 AXD982970:AXD982994 ANH982970:ANH982994 ADL982970:ADL982994 TP982970:TP982994 JT982970:JT982994 X982999:X983023 WWF917434:WWF917458 WMJ917434:WMJ917458 WCN917434:WCN917458 VSR917434:VSR917458 VIV917434:VIV917458 UYZ917434:UYZ917458 UPD917434:UPD917458 UFH917434:UFH917458 TVL917434:TVL917458 TLP917434:TLP917458 TBT917434:TBT917458 SRX917434:SRX917458 SIB917434:SIB917458 RYF917434:RYF917458 ROJ917434:ROJ917458 REN917434:REN917458 QUR917434:QUR917458 QKV917434:QKV917458 QAZ917434:QAZ917458 PRD917434:PRD917458 PHH917434:PHH917458 OXL917434:OXL917458 ONP917434:ONP917458 ODT917434:ODT917458 NTX917434:NTX917458 NKB917434:NKB917458 NAF917434:NAF917458 MQJ917434:MQJ917458 MGN917434:MGN917458 LWR917434:LWR917458 LMV917434:LMV917458 LCZ917434:LCZ917458 KTD917434:KTD917458 KJH917434:KJH917458 JZL917434:JZL917458 JPP917434:JPP917458 JFT917434:JFT917458 IVX917434:IVX917458 IMB917434:IMB917458 ICF917434:ICF917458 HSJ917434:HSJ917458 HIN917434:HIN917458 GYR917434:GYR917458 GOV917434:GOV917458 GEZ917434:GEZ917458 FVD917434:FVD917458 FLH917434:FLH917458 FBL917434:FBL917458 ERP917434:ERP917458 EHT917434:EHT917458 DXX917434:DXX917458 DOB917434:DOB917458 DEF917434:DEF917458 CUJ917434:CUJ917458 CKN917434:CKN917458 CAR917434:CAR917458 BQV917434:BQV917458 BGZ917434:BGZ917458 AXD917434:AXD917458 ANH917434:ANH917458 ADL917434:ADL917458 TP917434:TP917458 JT917434:JT917458 X917463:X917487 WWF851898:WWF851922 WMJ851898:WMJ851922 WCN851898:WCN851922 VSR851898:VSR851922 VIV851898:VIV851922 UYZ851898:UYZ851922 UPD851898:UPD851922 UFH851898:UFH851922 TVL851898:TVL851922 TLP851898:TLP851922 TBT851898:TBT851922 SRX851898:SRX851922 SIB851898:SIB851922 RYF851898:RYF851922 ROJ851898:ROJ851922 REN851898:REN851922 QUR851898:QUR851922 QKV851898:QKV851922 QAZ851898:QAZ851922 PRD851898:PRD851922 PHH851898:PHH851922 OXL851898:OXL851922 ONP851898:ONP851922 ODT851898:ODT851922 NTX851898:NTX851922 NKB851898:NKB851922 NAF851898:NAF851922 MQJ851898:MQJ851922 MGN851898:MGN851922 LWR851898:LWR851922 LMV851898:LMV851922 LCZ851898:LCZ851922 KTD851898:KTD851922 KJH851898:KJH851922 JZL851898:JZL851922 JPP851898:JPP851922 JFT851898:JFT851922 IVX851898:IVX851922 IMB851898:IMB851922 ICF851898:ICF851922 HSJ851898:HSJ851922 HIN851898:HIN851922 GYR851898:GYR851922 GOV851898:GOV851922 GEZ851898:GEZ851922 FVD851898:FVD851922 FLH851898:FLH851922 FBL851898:FBL851922 ERP851898:ERP851922 EHT851898:EHT851922 DXX851898:DXX851922 DOB851898:DOB851922 DEF851898:DEF851922 CUJ851898:CUJ851922 CKN851898:CKN851922 CAR851898:CAR851922 BQV851898:BQV851922 BGZ851898:BGZ851922 AXD851898:AXD851922 ANH851898:ANH851922 ADL851898:ADL851922 TP851898:TP851922 JT851898:JT851922 X851927:X851951 WWF786362:WWF786386 WMJ786362:WMJ786386 WCN786362:WCN786386 VSR786362:VSR786386 VIV786362:VIV786386 UYZ786362:UYZ786386 UPD786362:UPD786386 UFH786362:UFH786386 TVL786362:TVL786386 TLP786362:TLP786386 TBT786362:TBT786386 SRX786362:SRX786386 SIB786362:SIB786386 RYF786362:RYF786386 ROJ786362:ROJ786386 REN786362:REN786386 QUR786362:QUR786386 QKV786362:QKV786386 QAZ786362:QAZ786386 PRD786362:PRD786386 PHH786362:PHH786386 OXL786362:OXL786386 ONP786362:ONP786386 ODT786362:ODT786386 NTX786362:NTX786386 NKB786362:NKB786386 NAF786362:NAF786386 MQJ786362:MQJ786386 MGN786362:MGN786386 LWR786362:LWR786386 LMV786362:LMV786386 LCZ786362:LCZ786386 KTD786362:KTD786386 KJH786362:KJH786386 JZL786362:JZL786386 JPP786362:JPP786386 JFT786362:JFT786386 IVX786362:IVX786386 IMB786362:IMB786386 ICF786362:ICF786386 HSJ786362:HSJ786386 HIN786362:HIN786386 GYR786362:GYR786386 GOV786362:GOV786386 GEZ786362:GEZ786386 FVD786362:FVD786386 FLH786362:FLH786386 FBL786362:FBL786386 ERP786362:ERP786386 EHT786362:EHT786386 DXX786362:DXX786386 DOB786362:DOB786386 DEF786362:DEF786386 CUJ786362:CUJ786386 CKN786362:CKN786386 CAR786362:CAR786386 BQV786362:BQV786386 BGZ786362:BGZ786386 AXD786362:AXD786386 ANH786362:ANH786386 ADL786362:ADL786386 TP786362:TP786386 JT786362:JT786386 X786391:X786415 WWF720826:WWF720850 WMJ720826:WMJ720850 WCN720826:WCN720850 VSR720826:VSR720850 VIV720826:VIV720850 UYZ720826:UYZ720850 UPD720826:UPD720850 UFH720826:UFH720850 TVL720826:TVL720850 TLP720826:TLP720850 TBT720826:TBT720850 SRX720826:SRX720850 SIB720826:SIB720850 RYF720826:RYF720850 ROJ720826:ROJ720850 REN720826:REN720850 QUR720826:QUR720850 QKV720826:QKV720850 QAZ720826:QAZ720850 PRD720826:PRD720850 PHH720826:PHH720850 OXL720826:OXL720850 ONP720826:ONP720850 ODT720826:ODT720850 NTX720826:NTX720850 NKB720826:NKB720850 NAF720826:NAF720850 MQJ720826:MQJ720850 MGN720826:MGN720850 LWR720826:LWR720850 LMV720826:LMV720850 LCZ720826:LCZ720850 KTD720826:KTD720850 KJH720826:KJH720850 JZL720826:JZL720850 JPP720826:JPP720850 JFT720826:JFT720850 IVX720826:IVX720850 IMB720826:IMB720850 ICF720826:ICF720850 HSJ720826:HSJ720850 HIN720826:HIN720850 GYR720826:GYR720850 GOV720826:GOV720850 GEZ720826:GEZ720850 FVD720826:FVD720850 FLH720826:FLH720850 FBL720826:FBL720850 ERP720826:ERP720850 EHT720826:EHT720850 DXX720826:DXX720850 DOB720826:DOB720850 DEF720826:DEF720850 CUJ720826:CUJ720850 CKN720826:CKN720850 CAR720826:CAR720850 BQV720826:BQV720850 BGZ720826:BGZ720850 AXD720826:AXD720850 ANH720826:ANH720850 ADL720826:ADL720850 TP720826:TP720850 JT720826:JT720850 X720855:X720879 WWF655290:WWF655314 WMJ655290:WMJ655314 WCN655290:WCN655314 VSR655290:VSR655314 VIV655290:VIV655314 UYZ655290:UYZ655314 UPD655290:UPD655314 UFH655290:UFH655314 TVL655290:TVL655314 TLP655290:TLP655314 TBT655290:TBT655314 SRX655290:SRX655314 SIB655290:SIB655314 RYF655290:RYF655314 ROJ655290:ROJ655314 REN655290:REN655314 QUR655290:QUR655314 QKV655290:QKV655314 QAZ655290:QAZ655314 PRD655290:PRD655314 PHH655290:PHH655314 OXL655290:OXL655314 ONP655290:ONP655314 ODT655290:ODT655314 NTX655290:NTX655314 NKB655290:NKB655314 NAF655290:NAF655314 MQJ655290:MQJ655314 MGN655290:MGN655314 LWR655290:LWR655314 LMV655290:LMV655314 LCZ655290:LCZ655314 KTD655290:KTD655314 KJH655290:KJH655314 JZL655290:JZL655314 JPP655290:JPP655314 JFT655290:JFT655314 IVX655290:IVX655314 IMB655290:IMB655314 ICF655290:ICF655314 HSJ655290:HSJ655314 HIN655290:HIN655314 GYR655290:GYR655314 GOV655290:GOV655314 GEZ655290:GEZ655314 FVD655290:FVD655314 FLH655290:FLH655314 FBL655290:FBL655314 ERP655290:ERP655314 EHT655290:EHT655314 DXX655290:DXX655314 DOB655290:DOB655314 DEF655290:DEF655314 CUJ655290:CUJ655314 CKN655290:CKN655314 CAR655290:CAR655314 BQV655290:BQV655314 BGZ655290:BGZ655314 AXD655290:AXD655314 ANH655290:ANH655314 ADL655290:ADL655314 TP655290:TP655314 JT655290:JT655314 X655319:X655343 WWF589754:WWF589778 WMJ589754:WMJ589778 WCN589754:WCN589778 VSR589754:VSR589778 VIV589754:VIV589778 UYZ589754:UYZ589778 UPD589754:UPD589778 UFH589754:UFH589778 TVL589754:TVL589778 TLP589754:TLP589778 TBT589754:TBT589778 SRX589754:SRX589778 SIB589754:SIB589778 RYF589754:RYF589778 ROJ589754:ROJ589778 REN589754:REN589778 QUR589754:QUR589778 QKV589754:QKV589778 QAZ589754:QAZ589778 PRD589754:PRD589778 PHH589754:PHH589778 OXL589754:OXL589778 ONP589754:ONP589778 ODT589754:ODT589778 NTX589754:NTX589778 NKB589754:NKB589778 NAF589754:NAF589778 MQJ589754:MQJ589778 MGN589754:MGN589778 LWR589754:LWR589778 LMV589754:LMV589778 LCZ589754:LCZ589778 KTD589754:KTD589778 KJH589754:KJH589778 JZL589754:JZL589778 JPP589754:JPP589778 JFT589754:JFT589778 IVX589754:IVX589778 IMB589754:IMB589778 ICF589754:ICF589778 HSJ589754:HSJ589778 HIN589754:HIN589778 GYR589754:GYR589778 GOV589754:GOV589778 GEZ589754:GEZ589778 FVD589754:FVD589778 FLH589754:FLH589778 FBL589754:FBL589778 ERP589754:ERP589778 EHT589754:EHT589778 DXX589754:DXX589778 DOB589754:DOB589778 DEF589754:DEF589778 CUJ589754:CUJ589778 CKN589754:CKN589778 CAR589754:CAR589778 BQV589754:BQV589778 BGZ589754:BGZ589778 AXD589754:AXD589778 ANH589754:ANH589778 ADL589754:ADL589778 TP589754:TP589778 JT589754:JT589778 X589783:X589807 WWF524218:WWF524242 WMJ524218:WMJ524242 WCN524218:WCN524242 VSR524218:VSR524242 VIV524218:VIV524242 UYZ524218:UYZ524242 UPD524218:UPD524242 UFH524218:UFH524242 TVL524218:TVL524242 TLP524218:TLP524242 TBT524218:TBT524242 SRX524218:SRX524242 SIB524218:SIB524242 RYF524218:RYF524242 ROJ524218:ROJ524242 REN524218:REN524242 QUR524218:QUR524242 QKV524218:QKV524242 QAZ524218:QAZ524242 PRD524218:PRD524242 PHH524218:PHH524242 OXL524218:OXL524242 ONP524218:ONP524242 ODT524218:ODT524242 NTX524218:NTX524242 NKB524218:NKB524242 NAF524218:NAF524242 MQJ524218:MQJ524242 MGN524218:MGN524242 LWR524218:LWR524242 LMV524218:LMV524242 LCZ524218:LCZ524242 KTD524218:KTD524242 KJH524218:KJH524242 JZL524218:JZL524242 JPP524218:JPP524242 JFT524218:JFT524242 IVX524218:IVX524242 IMB524218:IMB524242 ICF524218:ICF524242 HSJ524218:HSJ524242 HIN524218:HIN524242 GYR524218:GYR524242 GOV524218:GOV524242 GEZ524218:GEZ524242 FVD524218:FVD524242 FLH524218:FLH524242 FBL524218:FBL524242 ERP524218:ERP524242 EHT524218:EHT524242 DXX524218:DXX524242 DOB524218:DOB524242 DEF524218:DEF524242 CUJ524218:CUJ524242 CKN524218:CKN524242 CAR524218:CAR524242 BQV524218:BQV524242 BGZ524218:BGZ524242 AXD524218:AXD524242 ANH524218:ANH524242 ADL524218:ADL524242 TP524218:TP524242 JT524218:JT524242 X524247:X524271 WWF458682:WWF458706 WMJ458682:WMJ458706 WCN458682:WCN458706 VSR458682:VSR458706 VIV458682:VIV458706 UYZ458682:UYZ458706 UPD458682:UPD458706 UFH458682:UFH458706 TVL458682:TVL458706 TLP458682:TLP458706 TBT458682:TBT458706 SRX458682:SRX458706 SIB458682:SIB458706 RYF458682:RYF458706 ROJ458682:ROJ458706 REN458682:REN458706 QUR458682:QUR458706 QKV458682:QKV458706 QAZ458682:QAZ458706 PRD458682:PRD458706 PHH458682:PHH458706 OXL458682:OXL458706 ONP458682:ONP458706 ODT458682:ODT458706 NTX458682:NTX458706 NKB458682:NKB458706 NAF458682:NAF458706 MQJ458682:MQJ458706 MGN458682:MGN458706 LWR458682:LWR458706 LMV458682:LMV458706 LCZ458682:LCZ458706 KTD458682:KTD458706 KJH458682:KJH458706 JZL458682:JZL458706 JPP458682:JPP458706 JFT458682:JFT458706 IVX458682:IVX458706 IMB458682:IMB458706 ICF458682:ICF458706 HSJ458682:HSJ458706 HIN458682:HIN458706 GYR458682:GYR458706 GOV458682:GOV458706 GEZ458682:GEZ458706 FVD458682:FVD458706 FLH458682:FLH458706 FBL458682:FBL458706 ERP458682:ERP458706 EHT458682:EHT458706 DXX458682:DXX458706 DOB458682:DOB458706 DEF458682:DEF458706 CUJ458682:CUJ458706 CKN458682:CKN458706 CAR458682:CAR458706 BQV458682:BQV458706 BGZ458682:BGZ458706 AXD458682:AXD458706 ANH458682:ANH458706 ADL458682:ADL458706 TP458682:TP458706 JT458682:JT458706 X458711:X458735 WWF393146:WWF393170 WMJ393146:WMJ393170 WCN393146:WCN393170 VSR393146:VSR393170 VIV393146:VIV393170 UYZ393146:UYZ393170 UPD393146:UPD393170 UFH393146:UFH393170 TVL393146:TVL393170 TLP393146:TLP393170 TBT393146:TBT393170 SRX393146:SRX393170 SIB393146:SIB393170 RYF393146:RYF393170 ROJ393146:ROJ393170 REN393146:REN393170 QUR393146:QUR393170 QKV393146:QKV393170 QAZ393146:QAZ393170 PRD393146:PRD393170 PHH393146:PHH393170 OXL393146:OXL393170 ONP393146:ONP393170 ODT393146:ODT393170 NTX393146:NTX393170 NKB393146:NKB393170 NAF393146:NAF393170 MQJ393146:MQJ393170 MGN393146:MGN393170 LWR393146:LWR393170 LMV393146:LMV393170 LCZ393146:LCZ393170 KTD393146:KTD393170 KJH393146:KJH393170 JZL393146:JZL393170 JPP393146:JPP393170 JFT393146:JFT393170 IVX393146:IVX393170 IMB393146:IMB393170 ICF393146:ICF393170 HSJ393146:HSJ393170 HIN393146:HIN393170 GYR393146:GYR393170 GOV393146:GOV393170 GEZ393146:GEZ393170 FVD393146:FVD393170 FLH393146:FLH393170 FBL393146:FBL393170 ERP393146:ERP393170 EHT393146:EHT393170 DXX393146:DXX393170 DOB393146:DOB393170 DEF393146:DEF393170 CUJ393146:CUJ393170 CKN393146:CKN393170 CAR393146:CAR393170 BQV393146:BQV393170 BGZ393146:BGZ393170 AXD393146:AXD393170 ANH393146:ANH393170 ADL393146:ADL393170 TP393146:TP393170 JT393146:JT393170 X393175:X393199 WWF327610:WWF327634 WMJ327610:WMJ327634 WCN327610:WCN327634 VSR327610:VSR327634 VIV327610:VIV327634 UYZ327610:UYZ327634 UPD327610:UPD327634 UFH327610:UFH327634 TVL327610:TVL327634 TLP327610:TLP327634 TBT327610:TBT327634 SRX327610:SRX327634 SIB327610:SIB327634 RYF327610:RYF327634 ROJ327610:ROJ327634 REN327610:REN327634 QUR327610:QUR327634 QKV327610:QKV327634 QAZ327610:QAZ327634 PRD327610:PRD327634 PHH327610:PHH327634 OXL327610:OXL327634 ONP327610:ONP327634 ODT327610:ODT327634 NTX327610:NTX327634 NKB327610:NKB327634 NAF327610:NAF327634 MQJ327610:MQJ327634 MGN327610:MGN327634 LWR327610:LWR327634 LMV327610:LMV327634 LCZ327610:LCZ327634 KTD327610:KTD327634 KJH327610:KJH327634 JZL327610:JZL327634 JPP327610:JPP327634 JFT327610:JFT327634 IVX327610:IVX327634 IMB327610:IMB327634 ICF327610:ICF327634 HSJ327610:HSJ327634 HIN327610:HIN327634 GYR327610:GYR327634 GOV327610:GOV327634 GEZ327610:GEZ327634 FVD327610:FVD327634 FLH327610:FLH327634 FBL327610:FBL327634 ERP327610:ERP327634 EHT327610:EHT327634 DXX327610:DXX327634 DOB327610:DOB327634 DEF327610:DEF327634 CUJ327610:CUJ327634 CKN327610:CKN327634 CAR327610:CAR327634 BQV327610:BQV327634 BGZ327610:BGZ327634 AXD327610:AXD327634 ANH327610:ANH327634 ADL327610:ADL327634 TP327610:TP327634 JT327610:JT327634 X327639:X327663 WWF262074:WWF262098 WMJ262074:WMJ262098 WCN262074:WCN262098 VSR262074:VSR262098 VIV262074:VIV262098 UYZ262074:UYZ262098 UPD262074:UPD262098 UFH262074:UFH262098 TVL262074:TVL262098 TLP262074:TLP262098 TBT262074:TBT262098 SRX262074:SRX262098 SIB262074:SIB262098 RYF262074:RYF262098 ROJ262074:ROJ262098 REN262074:REN262098 QUR262074:QUR262098 QKV262074:QKV262098 QAZ262074:QAZ262098 PRD262074:PRD262098 PHH262074:PHH262098 OXL262074:OXL262098 ONP262074:ONP262098 ODT262074:ODT262098 NTX262074:NTX262098 NKB262074:NKB262098 NAF262074:NAF262098 MQJ262074:MQJ262098 MGN262074:MGN262098 LWR262074:LWR262098 LMV262074:LMV262098 LCZ262074:LCZ262098 KTD262074:KTD262098 KJH262074:KJH262098 JZL262074:JZL262098 JPP262074:JPP262098 JFT262074:JFT262098 IVX262074:IVX262098 IMB262074:IMB262098 ICF262074:ICF262098 HSJ262074:HSJ262098 HIN262074:HIN262098 GYR262074:GYR262098 GOV262074:GOV262098 GEZ262074:GEZ262098 FVD262074:FVD262098 FLH262074:FLH262098 FBL262074:FBL262098 ERP262074:ERP262098 EHT262074:EHT262098 DXX262074:DXX262098 DOB262074:DOB262098 DEF262074:DEF262098 CUJ262074:CUJ262098 CKN262074:CKN262098 CAR262074:CAR262098 BQV262074:BQV262098 BGZ262074:BGZ262098 AXD262074:AXD262098 ANH262074:ANH262098 ADL262074:ADL262098 TP262074:TP262098 JT262074:JT262098 X262103:X262127 WWF196538:WWF196562 WMJ196538:WMJ196562 WCN196538:WCN196562 VSR196538:VSR196562 VIV196538:VIV196562 UYZ196538:UYZ196562 UPD196538:UPD196562 UFH196538:UFH196562 TVL196538:TVL196562 TLP196538:TLP196562 TBT196538:TBT196562 SRX196538:SRX196562 SIB196538:SIB196562 RYF196538:RYF196562 ROJ196538:ROJ196562 REN196538:REN196562 QUR196538:QUR196562 QKV196538:QKV196562 QAZ196538:QAZ196562 PRD196538:PRD196562 PHH196538:PHH196562 OXL196538:OXL196562 ONP196538:ONP196562 ODT196538:ODT196562 NTX196538:NTX196562 NKB196538:NKB196562 NAF196538:NAF196562 MQJ196538:MQJ196562 MGN196538:MGN196562 LWR196538:LWR196562 LMV196538:LMV196562 LCZ196538:LCZ196562 KTD196538:KTD196562 KJH196538:KJH196562 JZL196538:JZL196562 JPP196538:JPP196562 JFT196538:JFT196562 IVX196538:IVX196562 IMB196538:IMB196562 ICF196538:ICF196562 HSJ196538:HSJ196562 HIN196538:HIN196562 GYR196538:GYR196562 GOV196538:GOV196562 GEZ196538:GEZ196562 FVD196538:FVD196562 FLH196538:FLH196562 FBL196538:FBL196562 ERP196538:ERP196562 EHT196538:EHT196562 DXX196538:DXX196562 DOB196538:DOB196562 DEF196538:DEF196562 CUJ196538:CUJ196562 CKN196538:CKN196562 CAR196538:CAR196562 BQV196538:BQV196562 BGZ196538:BGZ196562 AXD196538:AXD196562 ANH196538:ANH196562 ADL196538:ADL196562 TP196538:TP196562 JT196538:JT196562 X196567:X196591 WWF131002:WWF131026 WMJ131002:WMJ131026 WCN131002:WCN131026 VSR131002:VSR131026 VIV131002:VIV131026 UYZ131002:UYZ131026 UPD131002:UPD131026 UFH131002:UFH131026 TVL131002:TVL131026 TLP131002:TLP131026 TBT131002:TBT131026 SRX131002:SRX131026 SIB131002:SIB131026 RYF131002:RYF131026 ROJ131002:ROJ131026 REN131002:REN131026 QUR131002:QUR131026 QKV131002:QKV131026 QAZ131002:QAZ131026 PRD131002:PRD131026 PHH131002:PHH131026 OXL131002:OXL131026 ONP131002:ONP131026 ODT131002:ODT131026 NTX131002:NTX131026 NKB131002:NKB131026 NAF131002:NAF131026 MQJ131002:MQJ131026 MGN131002:MGN131026 LWR131002:LWR131026 LMV131002:LMV131026 LCZ131002:LCZ131026 KTD131002:KTD131026 KJH131002:KJH131026 JZL131002:JZL131026 JPP131002:JPP131026 JFT131002:JFT131026 IVX131002:IVX131026 IMB131002:IMB131026 ICF131002:ICF131026 HSJ131002:HSJ131026 HIN131002:HIN131026 GYR131002:GYR131026 GOV131002:GOV131026 GEZ131002:GEZ131026 FVD131002:FVD131026 FLH131002:FLH131026 FBL131002:FBL131026 ERP131002:ERP131026 EHT131002:EHT131026 DXX131002:DXX131026 DOB131002:DOB131026 DEF131002:DEF131026 CUJ131002:CUJ131026 CKN131002:CKN131026 CAR131002:CAR131026 BQV131002:BQV131026 BGZ131002:BGZ131026 AXD131002:AXD131026 ANH131002:ANH131026 ADL131002:ADL131026 TP131002:TP131026 JT131002:JT131026 X131031:X131055 WWF65466:WWF65490 WMJ65466:WMJ65490 WCN65466:WCN65490 VSR65466:VSR65490 VIV65466:VIV65490 UYZ65466:UYZ65490 UPD65466:UPD65490 UFH65466:UFH65490 TVL65466:TVL65490 TLP65466:TLP65490 TBT65466:TBT65490 SRX65466:SRX65490 SIB65466:SIB65490 RYF65466:RYF65490 ROJ65466:ROJ65490 REN65466:REN65490 QUR65466:QUR65490 QKV65466:QKV65490 QAZ65466:QAZ65490 PRD65466:PRD65490 PHH65466:PHH65490 OXL65466:OXL65490 ONP65466:ONP65490 ODT65466:ODT65490 NTX65466:NTX65490 NKB65466:NKB65490 NAF65466:NAF65490 MQJ65466:MQJ65490 MGN65466:MGN65490 LWR65466:LWR65490 LMV65466:LMV65490 LCZ65466:LCZ65490 KTD65466:KTD65490 KJH65466:KJH65490 JZL65466:JZL65490 JPP65466:JPP65490 JFT65466:JFT65490 IVX65466:IVX65490 IMB65466:IMB65490 ICF65466:ICF65490 HSJ65466:HSJ65490 HIN65466:HIN65490 GYR65466:GYR65490 GOV65466:GOV65490 GEZ65466:GEZ65490 FVD65466:FVD65490 FLH65466:FLH65490 FBL65466:FBL65490 ERP65466:ERP65490 EHT65466:EHT65490 DXX65466:DXX65490 DOB65466:DOB65490 DEF65466:DEF65490 CUJ65466:CUJ65490 CKN65466:CKN65490 CAR65466:CAR65490 BQV65466:BQV65490 BGZ65466:BGZ65490 AXD65466:AXD65490 ANH65466:ANH65490 ADL65466:ADL65490 TP65466:TP65490 JT65466:JT65490 ANG13:ANG513 AXC13:AXC513 BGY13:BGY513 BQU13:BQU513 CAQ13:CAQ513 CKM13:CKM513 CUI13:CUI513 DEE13:DEE513 DOA13:DOA513 DXW13:DXW513 EHS13:EHS513 ERO13:ERO513 FBK13:FBK513 FLG13:FLG513 FVC13:FVC513 GEY13:GEY513 GOU13:GOU513 GYQ13:GYQ513 HIM13:HIM513 HSI13:HSI513 ICE13:ICE513 IMA13:IMA513 IVW13:IVW513 JFS13:JFS513 JPO13:JPO513 JZK13:JZK513 KJG13:KJG513 KTC13:KTC513 LCY13:LCY513 LMU13:LMU513 LWQ13:LWQ513 MGM13:MGM513 MQI13:MQI513 NAE13:NAE513 NKA13:NKA513 NTW13:NTW513 ODS13:ODS513 ONO13:ONO513 OXK13:OXK513 PHG13:PHG513 PRC13:PRC513 QAY13:QAY513 QKU13:QKU513 QUQ13:QUQ513 REM13:REM513 ROI13:ROI513 RYE13:RYE513 SIA13:SIA513 SRW13:SRW513 TBS13:TBS513 TLO13:TLO513 TVK13:TVK513 UFG13:UFG513 UPC13:UPC513 UYY13:UYY513 VIU13:VIU513 VSQ13:VSQ513 WCM13:WCM513 WMI13:WMI513 WWE13:WWE513 JW13:JW513 TS13:TS513 ADO13:ADO513 ANK13:ANK513 AXG13:AXG513 BHC13:BHC513 BQY13:BQY513 CAU13:CAU513 CKQ13:CKQ513 CUM13:CUM513 DEI13:DEI513 DOE13:DOE513 DYA13:DYA513 EHW13:EHW513 ERS13:ERS513 FBO13:FBO513 FLK13:FLK513 FVG13:FVG513 GFC13:GFC513 GOY13:GOY513 GYU13:GYU513 HIQ13:HIQ513 HSM13:HSM513 ICI13:ICI513 IME13:IME513 IWA13:IWA513 JFW13:JFW513 JPS13:JPS513 JZO13:JZO513 KJK13:KJK513 KTG13:KTG513 LDC13:LDC513 LMY13:LMY513 LWU13:LWU513 MGQ13:MGQ513 MQM13:MQM513 NAI13:NAI513 NKE13:NKE513 NUA13:NUA513 ODW13:ODW513 ONS13:ONS513 OXO13:OXO513 PHK13:PHK513 PRG13:PRG513 QBC13:QBC513 QKY13:QKY513 QUU13:QUU513 REQ13:REQ513 ROM13:ROM513 RYI13:RYI513 SIE13:SIE513 SSA13:SSA513 TBW13:TBW513 TLS13:TLS513 TVO13:TVO513 UFK13:UFK513 UPG13:UPG513 UZC13:UZC513 VIY13:VIY513 VSU13:VSU513 WCQ13:WCQ513 WMM13:WMM513 WWI13:WWI513 KA13:KA513 TW13:TW513 ADS13:ADS513 ANO13:ANO513 AXK13:AXK513 BHG13:BHG513 BRC13:BRC513 CAY13:CAY513 CKU13:CKU513 CUQ13:CUQ513 DEM13:DEM513 DOI13:DOI513 DYE13:DYE513 EIA13:EIA513 ERW13:ERW513 FBS13:FBS513 FLO13:FLO513 FVK13:FVK513 GFG13:GFG513 GPC13:GPC513 GYY13:GYY513 HIU13:HIU513 HSQ13:HSQ513 ICM13:ICM513 IMI13:IMI513 IWE13:IWE513 JGA13:JGA513 JPW13:JPW513 JZS13:JZS513 KJO13:KJO513 KTK13:KTK513 LDG13:LDG513 LNC13:LNC513 LWY13:LWY513 MGU13:MGU513 MQQ13:MQQ513 NAM13:NAM513 NKI13:NKI513 NUE13:NUE513 OEA13:OEA513 ONW13:ONW513 OXS13:OXS513 PHO13:PHO513 PRK13:PRK513 QBG13:QBG513 QLC13:QLC513 QUY13:QUY513 REU13:REU513 ROQ13:ROQ513 RYM13:RYM513 SII13:SII513 SSE13:SSE513 TCA13:TCA513 TLW13:TLW513 TVS13:TVS513 UFO13:UFO513 UPK13:UPK513 UZG13:UZG513 VJC13:VJC513 VSY13:VSY513 WCU13:WCU513 WMQ13:WMQ513 WWM13:WWM513 KE13:KE513 UA13:UA513 ADW13:ADW513 ANS13:ANS513 AXO13:AXO513 BHK13:BHK513 BRG13:BRG513 CBC13:CBC513 CKY13:CKY513 CUU13:CUU513 DEQ13:DEQ513 DOM13:DOM513 DYI13:DYI513 EIE13:EIE513 ESA13:ESA513 FBW13:FBW513 FLS13:FLS513 FVO13:FVO513 GFK13:GFK513 GPG13:GPG513 GZC13:GZC513 HIY13:HIY513 HSU13:HSU513 ICQ13:ICQ513 IMM13:IMM513 IWI13:IWI513 JGE13:JGE513 JQA13:JQA513 JZW13:JZW513 KJS13:KJS513 KTO13:KTO513 LDK13:LDK513 LNG13:LNG513 LXC13:LXC513 MGY13:MGY513 MQU13:MQU513 NAQ13:NAQ513 NKM13:NKM513 NUI13:NUI513 OEE13:OEE513 OOA13:OOA513 OXW13:OXW513 PHS13:PHS513 PRO13:PRO513 QBK13:QBK513 QLG13:QLG513 QVC13:QVC513 REY13:REY513 ROU13:ROU513 RYQ13:RYQ513 SIM13:SIM513 SSI13:SSI513 TCE13:TCE513 TMA13:TMA513 TVW13:TVW513 UFS13:UFS513 UPO13:UPO513 UZK13:UZK513 VJG13:VJG513 VTC13:VTC513 WCY13:WCY513 WMU13:WMU513 WWQ13:WWQ513 JS13:JS513 ADK13:ADK513 TO13:TO513" xr:uid="{00000000-0002-0000-0E00-000008000000}">
      <formula1>#REF!</formula1>
    </dataValidation>
    <dataValidation allowBlank="1" showInputMessage="1" showErrorMessage="1" prompt="Enter the R&amp;B refund due (To)/From individual. If the contractor provides documentation to confirm an adjustment was made prior to the entrance, indicate the adjustment (refund to individual) in column &quot;AA&quot; as a positive_x000a_" sqref="WWO982970:WWO982994 KC65466:KC65490 TY65466:TY65490 ADU65466:ADU65490 ANQ65466:ANQ65490 AXM65466:AXM65490 BHI65466:BHI65490 BRE65466:BRE65490 CBA65466:CBA65490 CKW65466:CKW65490 CUS65466:CUS65490 DEO65466:DEO65490 DOK65466:DOK65490 DYG65466:DYG65490 EIC65466:EIC65490 ERY65466:ERY65490 FBU65466:FBU65490 FLQ65466:FLQ65490 FVM65466:FVM65490 GFI65466:GFI65490 GPE65466:GPE65490 GZA65466:GZA65490 HIW65466:HIW65490 HSS65466:HSS65490 ICO65466:ICO65490 IMK65466:IMK65490 IWG65466:IWG65490 JGC65466:JGC65490 JPY65466:JPY65490 JZU65466:JZU65490 KJQ65466:KJQ65490 KTM65466:KTM65490 LDI65466:LDI65490 LNE65466:LNE65490 LXA65466:LXA65490 MGW65466:MGW65490 MQS65466:MQS65490 NAO65466:NAO65490 NKK65466:NKK65490 NUG65466:NUG65490 OEC65466:OEC65490 ONY65466:ONY65490 OXU65466:OXU65490 PHQ65466:PHQ65490 PRM65466:PRM65490 QBI65466:QBI65490 QLE65466:QLE65490 QVA65466:QVA65490 REW65466:REW65490 ROS65466:ROS65490 RYO65466:RYO65490 SIK65466:SIK65490 SSG65466:SSG65490 TCC65466:TCC65490 TLY65466:TLY65490 TVU65466:TVU65490 UFQ65466:UFQ65490 UPM65466:UPM65490 UZI65466:UZI65490 VJE65466:VJE65490 VTA65466:VTA65490 WCW65466:WCW65490 WMS65466:WMS65490 WWO65466:WWO65490 AG131002:AG131026 KC131002:KC131026 TY131002:TY131026 ADU131002:ADU131026 ANQ131002:ANQ131026 AXM131002:AXM131026 BHI131002:BHI131026 BRE131002:BRE131026 CBA131002:CBA131026 CKW131002:CKW131026 CUS131002:CUS131026 DEO131002:DEO131026 DOK131002:DOK131026 DYG131002:DYG131026 EIC131002:EIC131026 ERY131002:ERY131026 FBU131002:FBU131026 FLQ131002:FLQ131026 FVM131002:FVM131026 GFI131002:GFI131026 GPE131002:GPE131026 GZA131002:GZA131026 HIW131002:HIW131026 HSS131002:HSS131026 ICO131002:ICO131026 IMK131002:IMK131026 IWG131002:IWG131026 JGC131002:JGC131026 JPY131002:JPY131026 JZU131002:JZU131026 KJQ131002:KJQ131026 KTM131002:KTM131026 LDI131002:LDI131026 LNE131002:LNE131026 LXA131002:LXA131026 MGW131002:MGW131026 MQS131002:MQS131026 NAO131002:NAO131026 NKK131002:NKK131026 NUG131002:NUG131026 OEC131002:OEC131026 ONY131002:ONY131026 OXU131002:OXU131026 PHQ131002:PHQ131026 PRM131002:PRM131026 QBI131002:QBI131026 QLE131002:QLE131026 QVA131002:QVA131026 REW131002:REW131026 ROS131002:ROS131026 RYO131002:RYO131026 SIK131002:SIK131026 SSG131002:SSG131026 TCC131002:TCC131026 TLY131002:TLY131026 TVU131002:TVU131026 UFQ131002:UFQ131026 UPM131002:UPM131026 UZI131002:UZI131026 VJE131002:VJE131026 VTA131002:VTA131026 WCW131002:WCW131026 WMS131002:WMS131026 WWO131002:WWO131026 AG196538:AG196562 KC196538:KC196562 TY196538:TY196562 ADU196538:ADU196562 ANQ196538:ANQ196562 AXM196538:AXM196562 BHI196538:BHI196562 BRE196538:BRE196562 CBA196538:CBA196562 CKW196538:CKW196562 CUS196538:CUS196562 DEO196538:DEO196562 DOK196538:DOK196562 DYG196538:DYG196562 EIC196538:EIC196562 ERY196538:ERY196562 FBU196538:FBU196562 FLQ196538:FLQ196562 FVM196538:FVM196562 GFI196538:GFI196562 GPE196538:GPE196562 GZA196538:GZA196562 HIW196538:HIW196562 HSS196538:HSS196562 ICO196538:ICO196562 IMK196538:IMK196562 IWG196538:IWG196562 JGC196538:JGC196562 JPY196538:JPY196562 JZU196538:JZU196562 KJQ196538:KJQ196562 KTM196538:KTM196562 LDI196538:LDI196562 LNE196538:LNE196562 LXA196538:LXA196562 MGW196538:MGW196562 MQS196538:MQS196562 NAO196538:NAO196562 NKK196538:NKK196562 NUG196538:NUG196562 OEC196538:OEC196562 ONY196538:ONY196562 OXU196538:OXU196562 PHQ196538:PHQ196562 PRM196538:PRM196562 QBI196538:QBI196562 QLE196538:QLE196562 QVA196538:QVA196562 REW196538:REW196562 ROS196538:ROS196562 RYO196538:RYO196562 SIK196538:SIK196562 SSG196538:SSG196562 TCC196538:TCC196562 TLY196538:TLY196562 TVU196538:TVU196562 UFQ196538:UFQ196562 UPM196538:UPM196562 UZI196538:UZI196562 VJE196538:VJE196562 VTA196538:VTA196562 WCW196538:WCW196562 WMS196538:WMS196562 WWO196538:WWO196562 AG262074:AG262098 KC262074:KC262098 TY262074:TY262098 ADU262074:ADU262098 ANQ262074:ANQ262098 AXM262074:AXM262098 BHI262074:BHI262098 BRE262074:BRE262098 CBA262074:CBA262098 CKW262074:CKW262098 CUS262074:CUS262098 DEO262074:DEO262098 DOK262074:DOK262098 DYG262074:DYG262098 EIC262074:EIC262098 ERY262074:ERY262098 FBU262074:FBU262098 FLQ262074:FLQ262098 FVM262074:FVM262098 GFI262074:GFI262098 GPE262074:GPE262098 GZA262074:GZA262098 HIW262074:HIW262098 HSS262074:HSS262098 ICO262074:ICO262098 IMK262074:IMK262098 IWG262074:IWG262098 JGC262074:JGC262098 JPY262074:JPY262098 JZU262074:JZU262098 KJQ262074:KJQ262098 KTM262074:KTM262098 LDI262074:LDI262098 LNE262074:LNE262098 LXA262074:LXA262098 MGW262074:MGW262098 MQS262074:MQS262098 NAO262074:NAO262098 NKK262074:NKK262098 NUG262074:NUG262098 OEC262074:OEC262098 ONY262074:ONY262098 OXU262074:OXU262098 PHQ262074:PHQ262098 PRM262074:PRM262098 QBI262074:QBI262098 QLE262074:QLE262098 QVA262074:QVA262098 REW262074:REW262098 ROS262074:ROS262098 RYO262074:RYO262098 SIK262074:SIK262098 SSG262074:SSG262098 TCC262074:TCC262098 TLY262074:TLY262098 TVU262074:TVU262098 UFQ262074:UFQ262098 UPM262074:UPM262098 UZI262074:UZI262098 VJE262074:VJE262098 VTA262074:VTA262098 WCW262074:WCW262098 WMS262074:WMS262098 WWO262074:WWO262098 AG327610:AG327634 KC327610:KC327634 TY327610:TY327634 ADU327610:ADU327634 ANQ327610:ANQ327634 AXM327610:AXM327634 BHI327610:BHI327634 BRE327610:BRE327634 CBA327610:CBA327634 CKW327610:CKW327634 CUS327610:CUS327634 DEO327610:DEO327634 DOK327610:DOK327634 DYG327610:DYG327634 EIC327610:EIC327634 ERY327610:ERY327634 FBU327610:FBU327634 FLQ327610:FLQ327634 FVM327610:FVM327634 GFI327610:GFI327634 GPE327610:GPE327634 GZA327610:GZA327634 HIW327610:HIW327634 HSS327610:HSS327634 ICO327610:ICO327634 IMK327610:IMK327634 IWG327610:IWG327634 JGC327610:JGC327634 JPY327610:JPY327634 JZU327610:JZU327634 KJQ327610:KJQ327634 KTM327610:KTM327634 LDI327610:LDI327634 LNE327610:LNE327634 LXA327610:LXA327634 MGW327610:MGW327634 MQS327610:MQS327634 NAO327610:NAO327634 NKK327610:NKK327634 NUG327610:NUG327634 OEC327610:OEC327634 ONY327610:ONY327634 OXU327610:OXU327634 PHQ327610:PHQ327634 PRM327610:PRM327634 QBI327610:QBI327634 QLE327610:QLE327634 QVA327610:QVA327634 REW327610:REW327634 ROS327610:ROS327634 RYO327610:RYO327634 SIK327610:SIK327634 SSG327610:SSG327634 TCC327610:TCC327634 TLY327610:TLY327634 TVU327610:TVU327634 UFQ327610:UFQ327634 UPM327610:UPM327634 UZI327610:UZI327634 VJE327610:VJE327634 VTA327610:VTA327634 WCW327610:WCW327634 WMS327610:WMS327634 WWO327610:WWO327634 AG393146:AG393170 KC393146:KC393170 TY393146:TY393170 ADU393146:ADU393170 ANQ393146:ANQ393170 AXM393146:AXM393170 BHI393146:BHI393170 BRE393146:BRE393170 CBA393146:CBA393170 CKW393146:CKW393170 CUS393146:CUS393170 DEO393146:DEO393170 DOK393146:DOK393170 DYG393146:DYG393170 EIC393146:EIC393170 ERY393146:ERY393170 FBU393146:FBU393170 FLQ393146:FLQ393170 FVM393146:FVM393170 GFI393146:GFI393170 GPE393146:GPE393170 GZA393146:GZA393170 HIW393146:HIW393170 HSS393146:HSS393170 ICO393146:ICO393170 IMK393146:IMK393170 IWG393146:IWG393170 JGC393146:JGC393170 JPY393146:JPY393170 JZU393146:JZU393170 KJQ393146:KJQ393170 KTM393146:KTM393170 LDI393146:LDI393170 LNE393146:LNE393170 LXA393146:LXA393170 MGW393146:MGW393170 MQS393146:MQS393170 NAO393146:NAO393170 NKK393146:NKK393170 NUG393146:NUG393170 OEC393146:OEC393170 ONY393146:ONY393170 OXU393146:OXU393170 PHQ393146:PHQ393170 PRM393146:PRM393170 QBI393146:QBI393170 QLE393146:QLE393170 QVA393146:QVA393170 REW393146:REW393170 ROS393146:ROS393170 RYO393146:RYO393170 SIK393146:SIK393170 SSG393146:SSG393170 TCC393146:TCC393170 TLY393146:TLY393170 TVU393146:TVU393170 UFQ393146:UFQ393170 UPM393146:UPM393170 UZI393146:UZI393170 VJE393146:VJE393170 VTA393146:VTA393170 WCW393146:WCW393170 WMS393146:WMS393170 WWO393146:WWO393170 AG458682:AG458706 KC458682:KC458706 TY458682:TY458706 ADU458682:ADU458706 ANQ458682:ANQ458706 AXM458682:AXM458706 BHI458682:BHI458706 BRE458682:BRE458706 CBA458682:CBA458706 CKW458682:CKW458706 CUS458682:CUS458706 DEO458682:DEO458706 DOK458682:DOK458706 DYG458682:DYG458706 EIC458682:EIC458706 ERY458682:ERY458706 FBU458682:FBU458706 FLQ458682:FLQ458706 FVM458682:FVM458706 GFI458682:GFI458706 GPE458682:GPE458706 GZA458682:GZA458706 HIW458682:HIW458706 HSS458682:HSS458706 ICO458682:ICO458706 IMK458682:IMK458706 IWG458682:IWG458706 JGC458682:JGC458706 JPY458682:JPY458706 JZU458682:JZU458706 KJQ458682:KJQ458706 KTM458682:KTM458706 LDI458682:LDI458706 LNE458682:LNE458706 LXA458682:LXA458706 MGW458682:MGW458706 MQS458682:MQS458706 NAO458682:NAO458706 NKK458682:NKK458706 NUG458682:NUG458706 OEC458682:OEC458706 ONY458682:ONY458706 OXU458682:OXU458706 PHQ458682:PHQ458706 PRM458682:PRM458706 QBI458682:QBI458706 QLE458682:QLE458706 QVA458682:QVA458706 REW458682:REW458706 ROS458682:ROS458706 RYO458682:RYO458706 SIK458682:SIK458706 SSG458682:SSG458706 TCC458682:TCC458706 TLY458682:TLY458706 TVU458682:TVU458706 UFQ458682:UFQ458706 UPM458682:UPM458706 UZI458682:UZI458706 VJE458682:VJE458706 VTA458682:VTA458706 WCW458682:WCW458706 WMS458682:WMS458706 WWO458682:WWO458706 AG524218:AG524242 KC524218:KC524242 TY524218:TY524242 ADU524218:ADU524242 ANQ524218:ANQ524242 AXM524218:AXM524242 BHI524218:BHI524242 BRE524218:BRE524242 CBA524218:CBA524242 CKW524218:CKW524242 CUS524218:CUS524242 DEO524218:DEO524242 DOK524218:DOK524242 DYG524218:DYG524242 EIC524218:EIC524242 ERY524218:ERY524242 FBU524218:FBU524242 FLQ524218:FLQ524242 FVM524218:FVM524242 GFI524218:GFI524242 GPE524218:GPE524242 GZA524218:GZA524242 HIW524218:HIW524242 HSS524218:HSS524242 ICO524218:ICO524242 IMK524218:IMK524242 IWG524218:IWG524242 JGC524218:JGC524242 JPY524218:JPY524242 JZU524218:JZU524242 KJQ524218:KJQ524242 KTM524218:KTM524242 LDI524218:LDI524242 LNE524218:LNE524242 LXA524218:LXA524242 MGW524218:MGW524242 MQS524218:MQS524242 NAO524218:NAO524242 NKK524218:NKK524242 NUG524218:NUG524242 OEC524218:OEC524242 ONY524218:ONY524242 OXU524218:OXU524242 PHQ524218:PHQ524242 PRM524218:PRM524242 QBI524218:QBI524242 QLE524218:QLE524242 QVA524218:QVA524242 REW524218:REW524242 ROS524218:ROS524242 RYO524218:RYO524242 SIK524218:SIK524242 SSG524218:SSG524242 TCC524218:TCC524242 TLY524218:TLY524242 TVU524218:TVU524242 UFQ524218:UFQ524242 UPM524218:UPM524242 UZI524218:UZI524242 VJE524218:VJE524242 VTA524218:VTA524242 WCW524218:WCW524242 WMS524218:WMS524242 WWO524218:WWO524242 AG589754:AG589778 KC589754:KC589778 TY589754:TY589778 ADU589754:ADU589778 ANQ589754:ANQ589778 AXM589754:AXM589778 BHI589754:BHI589778 BRE589754:BRE589778 CBA589754:CBA589778 CKW589754:CKW589778 CUS589754:CUS589778 DEO589754:DEO589778 DOK589754:DOK589778 DYG589754:DYG589778 EIC589754:EIC589778 ERY589754:ERY589778 FBU589754:FBU589778 FLQ589754:FLQ589778 FVM589754:FVM589778 GFI589754:GFI589778 GPE589754:GPE589778 GZA589754:GZA589778 HIW589754:HIW589778 HSS589754:HSS589778 ICO589754:ICO589778 IMK589754:IMK589778 IWG589754:IWG589778 JGC589754:JGC589778 JPY589754:JPY589778 JZU589754:JZU589778 KJQ589754:KJQ589778 KTM589754:KTM589778 LDI589754:LDI589778 LNE589754:LNE589778 LXA589754:LXA589778 MGW589754:MGW589778 MQS589754:MQS589778 NAO589754:NAO589778 NKK589754:NKK589778 NUG589754:NUG589778 OEC589754:OEC589778 ONY589754:ONY589778 OXU589754:OXU589778 PHQ589754:PHQ589778 PRM589754:PRM589778 QBI589754:QBI589778 QLE589754:QLE589778 QVA589754:QVA589778 REW589754:REW589778 ROS589754:ROS589778 RYO589754:RYO589778 SIK589754:SIK589778 SSG589754:SSG589778 TCC589754:TCC589778 TLY589754:TLY589778 TVU589754:TVU589778 UFQ589754:UFQ589778 UPM589754:UPM589778 UZI589754:UZI589778 VJE589754:VJE589778 VTA589754:VTA589778 WCW589754:WCW589778 WMS589754:WMS589778 WWO589754:WWO589778 AG655290:AG655314 KC655290:KC655314 TY655290:TY655314 ADU655290:ADU655314 ANQ655290:ANQ655314 AXM655290:AXM655314 BHI655290:BHI655314 BRE655290:BRE655314 CBA655290:CBA655314 CKW655290:CKW655314 CUS655290:CUS655314 DEO655290:DEO655314 DOK655290:DOK655314 DYG655290:DYG655314 EIC655290:EIC655314 ERY655290:ERY655314 FBU655290:FBU655314 FLQ655290:FLQ655314 FVM655290:FVM655314 GFI655290:GFI655314 GPE655290:GPE655314 GZA655290:GZA655314 HIW655290:HIW655314 HSS655290:HSS655314 ICO655290:ICO655314 IMK655290:IMK655314 IWG655290:IWG655314 JGC655290:JGC655314 JPY655290:JPY655314 JZU655290:JZU655314 KJQ655290:KJQ655314 KTM655290:KTM655314 LDI655290:LDI655314 LNE655290:LNE655314 LXA655290:LXA655314 MGW655290:MGW655314 MQS655290:MQS655314 NAO655290:NAO655314 NKK655290:NKK655314 NUG655290:NUG655314 OEC655290:OEC655314 ONY655290:ONY655314 OXU655290:OXU655314 PHQ655290:PHQ655314 PRM655290:PRM655314 QBI655290:QBI655314 QLE655290:QLE655314 QVA655290:QVA655314 REW655290:REW655314 ROS655290:ROS655314 RYO655290:RYO655314 SIK655290:SIK655314 SSG655290:SSG655314 TCC655290:TCC655314 TLY655290:TLY655314 TVU655290:TVU655314 UFQ655290:UFQ655314 UPM655290:UPM655314 UZI655290:UZI655314 VJE655290:VJE655314 VTA655290:VTA655314 WCW655290:WCW655314 WMS655290:WMS655314 WWO655290:WWO655314 AG720826:AG720850 KC720826:KC720850 TY720826:TY720850 ADU720826:ADU720850 ANQ720826:ANQ720850 AXM720826:AXM720850 BHI720826:BHI720850 BRE720826:BRE720850 CBA720826:CBA720850 CKW720826:CKW720850 CUS720826:CUS720850 DEO720826:DEO720850 DOK720826:DOK720850 DYG720826:DYG720850 EIC720826:EIC720850 ERY720826:ERY720850 FBU720826:FBU720850 FLQ720826:FLQ720850 FVM720826:FVM720850 GFI720826:GFI720850 GPE720826:GPE720850 GZA720826:GZA720850 HIW720826:HIW720850 HSS720826:HSS720850 ICO720826:ICO720850 IMK720826:IMK720850 IWG720826:IWG720850 JGC720826:JGC720850 JPY720826:JPY720850 JZU720826:JZU720850 KJQ720826:KJQ720850 KTM720826:KTM720850 LDI720826:LDI720850 LNE720826:LNE720850 LXA720826:LXA720850 MGW720826:MGW720850 MQS720826:MQS720850 NAO720826:NAO720850 NKK720826:NKK720850 NUG720826:NUG720850 OEC720826:OEC720850 ONY720826:ONY720850 OXU720826:OXU720850 PHQ720826:PHQ720850 PRM720826:PRM720850 QBI720826:QBI720850 QLE720826:QLE720850 QVA720826:QVA720850 REW720826:REW720850 ROS720826:ROS720850 RYO720826:RYO720850 SIK720826:SIK720850 SSG720826:SSG720850 TCC720826:TCC720850 TLY720826:TLY720850 TVU720826:TVU720850 UFQ720826:UFQ720850 UPM720826:UPM720850 UZI720826:UZI720850 VJE720826:VJE720850 VTA720826:VTA720850 WCW720826:WCW720850 WMS720826:WMS720850 WWO720826:WWO720850 AG786362:AG786386 KC786362:KC786386 TY786362:TY786386 ADU786362:ADU786386 ANQ786362:ANQ786386 AXM786362:AXM786386 BHI786362:BHI786386 BRE786362:BRE786386 CBA786362:CBA786386 CKW786362:CKW786386 CUS786362:CUS786386 DEO786362:DEO786386 DOK786362:DOK786386 DYG786362:DYG786386 EIC786362:EIC786386 ERY786362:ERY786386 FBU786362:FBU786386 FLQ786362:FLQ786386 FVM786362:FVM786386 GFI786362:GFI786386 GPE786362:GPE786386 GZA786362:GZA786386 HIW786362:HIW786386 HSS786362:HSS786386 ICO786362:ICO786386 IMK786362:IMK786386 IWG786362:IWG786386 JGC786362:JGC786386 JPY786362:JPY786386 JZU786362:JZU786386 KJQ786362:KJQ786386 KTM786362:KTM786386 LDI786362:LDI786386 LNE786362:LNE786386 LXA786362:LXA786386 MGW786362:MGW786386 MQS786362:MQS786386 NAO786362:NAO786386 NKK786362:NKK786386 NUG786362:NUG786386 OEC786362:OEC786386 ONY786362:ONY786386 OXU786362:OXU786386 PHQ786362:PHQ786386 PRM786362:PRM786386 QBI786362:QBI786386 QLE786362:QLE786386 QVA786362:QVA786386 REW786362:REW786386 ROS786362:ROS786386 RYO786362:RYO786386 SIK786362:SIK786386 SSG786362:SSG786386 TCC786362:TCC786386 TLY786362:TLY786386 TVU786362:TVU786386 UFQ786362:UFQ786386 UPM786362:UPM786386 UZI786362:UZI786386 VJE786362:VJE786386 VTA786362:VTA786386 WCW786362:WCW786386 WMS786362:WMS786386 WWO786362:WWO786386 AG851898:AG851922 KC851898:KC851922 TY851898:TY851922 ADU851898:ADU851922 ANQ851898:ANQ851922 AXM851898:AXM851922 BHI851898:BHI851922 BRE851898:BRE851922 CBA851898:CBA851922 CKW851898:CKW851922 CUS851898:CUS851922 DEO851898:DEO851922 DOK851898:DOK851922 DYG851898:DYG851922 EIC851898:EIC851922 ERY851898:ERY851922 FBU851898:FBU851922 FLQ851898:FLQ851922 FVM851898:FVM851922 GFI851898:GFI851922 GPE851898:GPE851922 GZA851898:GZA851922 HIW851898:HIW851922 HSS851898:HSS851922 ICO851898:ICO851922 IMK851898:IMK851922 IWG851898:IWG851922 JGC851898:JGC851922 JPY851898:JPY851922 JZU851898:JZU851922 KJQ851898:KJQ851922 KTM851898:KTM851922 LDI851898:LDI851922 LNE851898:LNE851922 LXA851898:LXA851922 MGW851898:MGW851922 MQS851898:MQS851922 NAO851898:NAO851922 NKK851898:NKK851922 NUG851898:NUG851922 OEC851898:OEC851922 ONY851898:ONY851922 OXU851898:OXU851922 PHQ851898:PHQ851922 PRM851898:PRM851922 QBI851898:QBI851922 QLE851898:QLE851922 QVA851898:QVA851922 REW851898:REW851922 ROS851898:ROS851922 RYO851898:RYO851922 SIK851898:SIK851922 SSG851898:SSG851922 TCC851898:TCC851922 TLY851898:TLY851922 TVU851898:TVU851922 UFQ851898:UFQ851922 UPM851898:UPM851922 UZI851898:UZI851922 VJE851898:VJE851922 VTA851898:VTA851922 WCW851898:WCW851922 WMS851898:WMS851922 WWO851898:WWO851922 AG917434:AG917458 KC917434:KC917458 TY917434:TY917458 ADU917434:ADU917458 ANQ917434:ANQ917458 AXM917434:AXM917458 BHI917434:BHI917458 BRE917434:BRE917458 CBA917434:CBA917458 CKW917434:CKW917458 CUS917434:CUS917458 DEO917434:DEO917458 DOK917434:DOK917458 DYG917434:DYG917458 EIC917434:EIC917458 ERY917434:ERY917458 FBU917434:FBU917458 FLQ917434:FLQ917458 FVM917434:FVM917458 GFI917434:GFI917458 GPE917434:GPE917458 GZA917434:GZA917458 HIW917434:HIW917458 HSS917434:HSS917458 ICO917434:ICO917458 IMK917434:IMK917458 IWG917434:IWG917458 JGC917434:JGC917458 JPY917434:JPY917458 JZU917434:JZU917458 KJQ917434:KJQ917458 KTM917434:KTM917458 LDI917434:LDI917458 LNE917434:LNE917458 LXA917434:LXA917458 MGW917434:MGW917458 MQS917434:MQS917458 NAO917434:NAO917458 NKK917434:NKK917458 NUG917434:NUG917458 OEC917434:OEC917458 ONY917434:ONY917458 OXU917434:OXU917458 PHQ917434:PHQ917458 PRM917434:PRM917458 QBI917434:QBI917458 QLE917434:QLE917458 QVA917434:QVA917458 REW917434:REW917458 ROS917434:ROS917458 RYO917434:RYO917458 SIK917434:SIK917458 SSG917434:SSG917458 TCC917434:TCC917458 TLY917434:TLY917458 TVU917434:TVU917458 UFQ917434:UFQ917458 UPM917434:UPM917458 UZI917434:UZI917458 VJE917434:VJE917458 VTA917434:VTA917458 WCW917434:WCW917458 WMS917434:WMS917458 WWO917434:WWO917458 AG982970:AG982994 KC982970:KC982994 TY982970:TY982994 ADU982970:ADU982994 ANQ982970:ANQ982994 AXM982970:AXM982994 BHI982970:BHI982994 BRE982970:BRE982994 CBA982970:CBA982994 CKW982970:CKW982994 CUS982970:CUS982994 DEO982970:DEO982994 DOK982970:DOK982994 DYG982970:DYG982994 EIC982970:EIC982994 ERY982970:ERY982994 FBU982970:FBU982994 FLQ982970:FLQ982994 FVM982970:FVM982994 GFI982970:GFI982994 GPE982970:GPE982994 GZA982970:GZA982994 HIW982970:HIW982994 HSS982970:HSS982994 ICO982970:ICO982994 IMK982970:IMK982994 IWG982970:IWG982994 JGC982970:JGC982994 JPY982970:JPY982994 JZU982970:JZU982994 KJQ982970:KJQ982994 KTM982970:KTM982994 LDI982970:LDI982994 LNE982970:LNE982994 LXA982970:LXA982994 MGW982970:MGW982994 MQS982970:MQS982994 NAO982970:NAO982994 NKK982970:NKK982994 NUG982970:NUG982994 OEC982970:OEC982994 ONY982970:ONY982994 OXU982970:OXU982994 PHQ982970:PHQ982994 PRM982970:PRM982994 QBI982970:QBI982994 QLE982970:QLE982994 QVA982970:QVA982994 REW982970:REW982994 ROS982970:ROS982994 RYO982970:RYO982994 SIK982970:SIK982994 SSG982970:SSG982994 TCC982970:TCC982994 TLY982970:TLY982994 TVU982970:TVU982994 UFQ982970:UFQ982994 UPM982970:UPM982994 UZI982970:UZI982994 VJE982970:VJE982994 VTA982970:VTA982994 WCW982970:WCW982994 WMS982970:WMS982994 AG65466:AG65490 WWN13:WWN513 WMR13:WMR513 WCV13:WCV513 VSZ13:VSZ513 VJD13:VJD513 UZH13:UZH513 UPL13:UPL513 UFP13:UFP513 TVT13:TVT513 TLX13:TLX513 TCB13:TCB513 SSF13:SSF513 SIJ13:SIJ513 RYN13:RYN513 ROR13:ROR513 REV13:REV513 QUZ13:QUZ513 QLD13:QLD513 QBH13:QBH513 PRL13:PRL513 PHP13:PHP513 OXT13:OXT513 ONX13:ONX513 OEB13:OEB513 NUF13:NUF513 NKJ13:NKJ513 NAN13:NAN513 MQR13:MQR513 MGV13:MGV513 LWZ13:LWZ513 LND13:LND513 LDH13:LDH513 KTL13:KTL513 KJP13:KJP513 JZT13:JZT513 JPX13:JPX513 JGB13:JGB513 IWF13:IWF513 IMJ13:IMJ513 ICN13:ICN513 HSR13:HSR513 HIV13:HIV513 GYZ13:GYZ513 GPD13:GPD513 GFH13:GFH513 FVL13:FVL513 FLP13:FLP513 FBT13:FBT513 ERX13:ERX513 EIB13:EIB513 DYF13:DYF513 DOJ13:DOJ513 DEN13:DEN513 CUR13:CUR513 CKV13:CKV513 CAZ13:CAZ513 BRD13:BRD513 BHH13:BHH513 AXL13:AXL513 ANP13:ANP513 ADT13:ADT513 TX13:TX513 KB13:KB513" xr:uid="{00000000-0002-0000-0E00-000009000000}"/>
    <dataValidation allowBlank="1" showInputMessage="1" showErrorMessage="1" prompt="Enter sample number associated with the individual" sqref="WVI982970:WVK982994 A65553:C65577 IW65466:IY65490 SS65466:SU65490 ACO65466:ACQ65490 AMK65466:AMM65490 AWG65466:AWI65490 BGC65466:BGE65490 BPY65466:BQA65490 BZU65466:BZW65490 CJQ65466:CJS65490 CTM65466:CTO65490 DDI65466:DDK65490 DNE65466:DNG65490 DXA65466:DXC65490 EGW65466:EGY65490 EQS65466:EQU65490 FAO65466:FAQ65490 FKK65466:FKM65490 FUG65466:FUI65490 GEC65466:GEE65490 GNY65466:GOA65490 GXU65466:GXW65490 HHQ65466:HHS65490 HRM65466:HRO65490 IBI65466:IBK65490 ILE65466:ILG65490 IVA65466:IVC65490 JEW65466:JEY65490 JOS65466:JOU65490 JYO65466:JYQ65490 KIK65466:KIM65490 KSG65466:KSI65490 LCC65466:LCE65490 LLY65466:LMA65490 LVU65466:LVW65490 MFQ65466:MFS65490 MPM65466:MPO65490 MZI65466:MZK65490 NJE65466:NJG65490 NTA65466:NTC65490 OCW65466:OCY65490 OMS65466:OMU65490 OWO65466:OWQ65490 PGK65466:PGM65490 PQG65466:PQI65490 QAC65466:QAE65490 QJY65466:QKA65490 QTU65466:QTW65490 RDQ65466:RDS65490 RNM65466:RNO65490 RXI65466:RXK65490 SHE65466:SHG65490 SRA65466:SRC65490 TAW65466:TAY65490 TKS65466:TKU65490 TUO65466:TUQ65490 UEK65466:UEM65490 UOG65466:UOI65490 UYC65466:UYE65490 VHY65466:VIA65490 VRU65466:VRW65490 WBQ65466:WBS65490 WLM65466:WLO65490 WVI65466:WVK65490 A131089:C131113 IW131002:IY131026 SS131002:SU131026 ACO131002:ACQ131026 AMK131002:AMM131026 AWG131002:AWI131026 BGC131002:BGE131026 BPY131002:BQA131026 BZU131002:BZW131026 CJQ131002:CJS131026 CTM131002:CTO131026 DDI131002:DDK131026 DNE131002:DNG131026 DXA131002:DXC131026 EGW131002:EGY131026 EQS131002:EQU131026 FAO131002:FAQ131026 FKK131002:FKM131026 FUG131002:FUI131026 GEC131002:GEE131026 GNY131002:GOA131026 GXU131002:GXW131026 HHQ131002:HHS131026 HRM131002:HRO131026 IBI131002:IBK131026 ILE131002:ILG131026 IVA131002:IVC131026 JEW131002:JEY131026 JOS131002:JOU131026 JYO131002:JYQ131026 KIK131002:KIM131026 KSG131002:KSI131026 LCC131002:LCE131026 LLY131002:LMA131026 LVU131002:LVW131026 MFQ131002:MFS131026 MPM131002:MPO131026 MZI131002:MZK131026 NJE131002:NJG131026 NTA131002:NTC131026 OCW131002:OCY131026 OMS131002:OMU131026 OWO131002:OWQ131026 PGK131002:PGM131026 PQG131002:PQI131026 QAC131002:QAE131026 QJY131002:QKA131026 QTU131002:QTW131026 RDQ131002:RDS131026 RNM131002:RNO131026 RXI131002:RXK131026 SHE131002:SHG131026 SRA131002:SRC131026 TAW131002:TAY131026 TKS131002:TKU131026 TUO131002:TUQ131026 UEK131002:UEM131026 UOG131002:UOI131026 UYC131002:UYE131026 VHY131002:VIA131026 VRU131002:VRW131026 WBQ131002:WBS131026 WLM131002:WLO131026 WVI131002:WVK131026 A196625:C196649 IW196538:IY196562 SS196538:SU196562 ACO196538:ACQ196562 AMK196538:AMM196562 AWG196538:AWI196562 BGC196538:BGE196562 BPY196538:BQA196562 BZU196538:BZW196562 CJQ196538:CJS196562 CTM196538:CTO196562 DDI196538:DDK196562 DNE196538:DNG196562 DXA196538:DXC196562 EGW196538:EGY196562 EQS196538:EQU196562 FAO196538:FAQ196562 FKK196538:FKM196562 FUG196538:FUI196562 GEC196538:GEE196562 GNY196538:GOA196562 GXU196538:GXW196562 HHQ196538:HHS196562 HRM196538:HRO196562 IBI196538:IBK196562 ILE196538:ILG196562 IVA196538:IVC196562 JEW196538:JEY196562 JOS196538:JOU196562 JYO196538:JYQ196562 KIK196538:KIM196562 KSG196538:KSI196562 LCC196538:LCE196562 LLY196538:LMA196562 LVU196538:LVW196562 MFQ196538:MFS196562 MPM196538:MPO196562 MZI196538:MZK196562 NJE196538:NJG196562 NTA196538:NTC196562 OCW196538:OCY196562 OMS196538:OMU196562 OWO196538:OWQ196562 PGK196538:PGM196562 PQG196538:PQI196562 QAC196538:QAE196562 QJY196538:QKA196562 QTU196538:QTW196562 RDQ196538:RDS196562 RNM196538:RNO196562 RXI196538:RXK196562 SHE196538:SHG196562 SRA196538:SRC196562 TAW196538:TAY196562 TKS196538:TKU196562 TUO196538:TUQ196562 UEK196538:UEM196562 UOG196538:UOI196562 UYC196538:UYE196562 VHY196538:VIA196562 VRU196538:VRW196562 WBQ196538:WBS196562 WLM196538:WLO196562 WVI196538:WVK196562 A262161:C262185 IW262074:IY262098 SS262074:SU262098 ACO262074:ACQ262098 AMK262074:AMM262098 AWG262074:AWI262098 BGC262074:BGE262098 BPY262074:BQA262098 BZU262074:BZW262098 CJQ262074:CJS262098 CTM262074:CTO262098 DDI262074:DDK262098 DNE262074:DNG262098 DXA262074:DXC262098 EGW262074:EGY262098 EQS262074:EQU262098 FAO262074:FAQ262098 FKK262074:FKM262098 FUG262074:FUI262098 GEC262074:GEE262098 GNY262074:GOA262098 GXU262074:GXW262098 HHQ262074:HHS262098 HRM262074:HRO262098 IBI262074:IBK262098 ILE262074:ILG262098 IVA262074:IVC262098 JEW262074:JEY262098 JOS262074:JOU262098 JYO262074:JYQ262098 KIK262074:KIM262098 KSG262074:KSI262098 LCC262074:LCE262098 LLY262074:LMA262098 LVU262074:LVW262098 MFQ262074:MFS262098 MPM262074:MPO262098 MZI262074:MZK262098 NJE262074:NJG262098 NTA262074:NTC262098 OCW262074:OCY262098 OMS262074:OMU262098 OWO262074:OWQ262098 PGK262074:PGM262098 PQG262074:PQI262098 QAC262074:QAE262098 QJY262074:QKA262098 QTU262074:QTW262098 RDQ262074:RDS262098 RNM262074:RNO262098 RXI262074:RXK262098 SHE262074:SHG262098 SRA262074:SRC262098 TAW262074:TAY262098 TKS262074:TKU262098 TUO262074:TUQ262098 UEK262074:UEM262098 UOG262074:UOI262098 UYC262074:UYE262098 VHY262074:VIA262098 VRU262074:VRW262098 WBQ262074:WBS262098 WLM262074:WLO262098 WVI262074:WVK262098 A327697:C327721 IW327610:IY327634 SS327610:SU327634 ACO327610:ACQ327634 AMK327610:AMM327634 AWG327610:AWI327634 BGC327610:BGE327634 BPY327610:BQA327634 BZU327610:BZW327634 CJQ327610:CJS327634 CTM327610:CTO327634 DDI327610:DDK327634 DNE327610:DNG327634 DXA327610:DXC327634 EGW327610:EGY327634 EQS327610:EQU327634 FAO327610:FAQ327634 FKK327610:FKM327634 FUG327610:FUI327634 GEC327610:GEE327634 GNY327610:GOA327634 GXU327610:GXW327634 HHQ327610:HHS327634 HRM327610:HRO327634 IBI327610:IBK327634 ILE327610:ILG327634 IVA327610:IVC327634 JEW327610:JEY327634 JOS327610:JOU327634 JYO327610:JYQ327634 KIK327610:KIM327634 KSG327610:KSI327634 LCC327610:LCE327634 LLY327610:LMA327634 LVU327610:LVW327634 MFQ327610:MFS327634 MPM327610:MPO327634 MZI327610:MZK327634 NJE327610:NJG327634 NTA327610:NTC327634 OCW327610:OCY327634 OMS327610:OMU327634 OWO327610:OWQ327634 PGK327610:PGM327634 PQG327610:PQI327634 QAC327610:QAE327634 QJY327610:QKA327634 QTU327610:QTW327634 RDQ327610:RDS327634 RNM327610:RNO327634 RXI327610:RXK327634 SHE327610:SHG327634 SRA327610:SRC327634 TAW327610:TAY327634 TKS327610:TKU327634 TUO327610:TUQ327634 UEK327610:UEM327634 UOG327610:UOI327634 UYC327610:UYE327634 VHY327610:VIA327634 VRU327610:VRW327634 WBQ327610:WBS327634 WLM327610:WLO327634 WVI327610:WVK327634 A393233:C393257 IW393146:IY393170 SS393146:SU393170 ACO393146:ACQ393170 AMK393146:AMM393170 AWG393146:AWI393170 BGC393146:BGE393170 BPY393146:BQA393170 BZU393146:BZW393170 CJQ393146:CJS393170 CTM393146:CTO393170 DDI393146:DDK393170 DNE393146:DNG393170 DXA393146:DXC393170 EGW393146:EGY393170 EQS393146:EQU393170 FAO393146:FAQ393170 FKK393146:FKM393170 FUG393146:FUI393170 GEC393146:GEE393170 GNY393146:GOA393170 GXU393146:GXW393170 HHQ393146:HHS393170 HRM393146:HRO393170 IBI393146:IBK393170 ILE393146:ILG393170 IVA393146:IVC393170 JEW393146:JEY393170 JOS393146:JOU393170 JYO393146:JYQ393170 KIK393146:KIM393170 KSG393146:KSI393170 LCC393146:LCE393170 LLY393146:LMA393170 LVU393146:LVW393170 MFQ393146:MFS393170 MPM393146:MPO393170 MZI393146:MZK393170 NJE393146:NJG393170 NTA393146:NTC393170 OCW393146:OCY393170 OMS393146:OMU393170 OWO393146:OWQ393170 PGK393146:PGM393170 PQG393146:PQI393170 QAC393146:QAE393170 QJY393146:QKA393170 QTU393146:QTW393170 RDQ393146:RDS393170 RNM393146:RNO393170 RXI393146:RXK393170 SHE393146:SHG393170 SRA393146:SRC393170 TAW393146:TAY393170 TKS393146:TKU393170 TUO393146:TUQ393170 UEK393146:UEM393170 UOG393146:UOI393170 UYC393146:UYE393170 VHY393146:VIA393170 VRU393146:VRW393170 WBQ393146:WBS393170 WLM393146:WLO393170 WVI393146:WVK393170 A458769:C458793 IW458682:IY458706 SS458682:SU458706 ACO458682:ACQ458706 AMK458682:AMM458706 AWG458682:AWI458706 BGC458682:BGE458706 BPY458682:BQA458706 BZU458682:BZW458706 CJQ458682:CJS458706 CTM458682:CTO458706 DDI458682:DDK458706 DNE458682:DNG458706 DXA458682:DXC458706 EGW458682:EGY458706 EQS458682:EQU458706 FAO458682:FAQ458706 FKK458682:FKM458706 FUG458682:FUI458706 GEC458682:GEE458706 GNY458682:GOA458706 GXU458682:GXW458706 HHQ458682:HHS458706 HRM458682:HRO458706 IBI458682:IBK458706 ILE458682:ILG458706 IVA458682:IVC458706 JEW458682:JEY458706 JOS458682:JOU458706 JYO458682:JYQ458706 KIK458682:KIM458706 KSG458682:KSI458706 LCC458682:LCE458706 LLY458682:LMA458706 LVU458682:LVW458706 MFQ458682:MFS458706 MPM458682:MPO458706 MZI458682:MZK458706 NJE458682:NJG458706 NTA458682:NTC458706 OCW458682:OCY458706 OMS458682:OMU458706 OWO458682:OWQ458706 PGK458682:PGM458706 PQG458682:PQI458706 QAC458682:QAE458706 QJY458682:QKA458706 QTU458682:QTW458706 RDQ458682:RDS458706 RNM458682:RNO458706 RXI458682:RXK458706 SHE458682:SHG458706 SRA458682:SRC458706 TAW458682:TAY458706 TKS458682:TKU458706 TUO458682:TUQ458706 UEK458682:UEM458706 UOG458682:UOI458706 UYC458682:UYE458706 VHY458682:VIA458706 VRU458682:VRW458706 WBQ458682:WBS458706 WLM458682:WLO458706 WVI458682:WVK458706 A524305:C524329 IW524218:IY524242 SS524218:SU524242 ACO524218:ACQ524242 AMK524218:AMM524242 AWG524218:AWI524242 BGC524218:BGE524242 BPY524218:BQA524242 BZU524218:BZW524242 CJQ524218:CJS524242 CTM524218:CTO524242 DDI524218:DDK524242 DNE524218:DNG524242 DXA524218:DXC524242 EGW524218:EGY524242 EQS524218:EQU524242 FAO524218:FAQ524242 FKK524218:FKM524242 FUG524218:FUI524242 GEC524218:GEE524242 GNY524218:GOA524242 GXU524218:GXW524242 HHQ524218:HHS524242 HRM524218:HRO524242 IBI524218:IBK524242 ILE524218:ILG524242 IVA524218:IVC524242 JEW524218:JEY524242 JOS524218:JOU524242 JYO524218:JYQ524242 KIK524218:KIM524242 KSG524218:KSI524242 LCC524218:LCE524242 LLY524218:LMA524242 LVU524218:LVW524242 MFQ524218:MFS524242 MPM524218:MPO524242 MZI524218:MZK524242 NJE524218:NJG524242 NTA524218:NTC524242 OCW524218:OCY524242 OMS524218:OMU524242 OWO524218:OWQ524242 PGK524218:PGM524242 PQG524218:PQI524242 QAC524218:QAE524242 QJY524218:QKA524242 QTU524218:QTW524242 RDQ524218:RDS524242 RNM524218:RNO524242 RXI524218:RXK524242 SHE524218:SHG524242 SRA524218:SRC524242 TAW524218:TAY524242 TKS524218:TKU524242 TUO524218:TUQ524242 UEK524218:UEM524242 UOG524218:UOI524242 UYC524218:UYE524242 VHY524218:VIA524242 VRU524218:VRW524242 WBQ524218:WBS524242 WLM524218:WLO524242 WVI524218:WVK524242 A589841:C589865 IW589754:IY589778 SS589754:SU589778 ACO589754:ACQ589778 AMK589754:AMM589778 AWG589754:AWI589778 BGC589754:BGE589778 BPY589754:BQA589778 BZU589754:BZW589778 CJQ589754:CJS589778 CTM589754:CTO589778 DDI589754:DDK589778 DNE589754:DNG589778 DXA589754:DXC589778 EGW589754:EGY589778 EQS589754:EQU589778 FAO589754:FAQ589778 FKK589754:FKM589778 FUG589754:FUI589778 GEC589754:GEE589778 GNY589754:GOA589778 GXU589754:GXW589778 HHQ589754:HHS589778 HRM589754:HRO589778 IBI589754:IBK589778 ILE589754:ILG589778 IVA589754:IVC589778 JEW589754:JEY589778 JOS589754:JOU589778 JYO589754:JYQ589778 KIK589754:KIM589778 KSG589754:KSI589778 LCC589754:LCE589778 LLY589754:LMA589778 LVU589754:LVW589778 MFQ589754:MFS589778 MPM589754:MPO589778 MZI589754:MZK589778 NJE589754:NJG589778 NTA589754:NTC589778 OCW589754:OCY589778 OMS589754:OMU589778 OWO589754:OWQ589778 PGK589754:PGM589778 PQG589754:PQI589778 QAC589754:QAE589778 QJY589754:QKA589778 QTU589754:QTW589778 RDQ589754:RDS589778 RNM589754:RNO589778 RXI589754:RXK589778 SHE589754:SHG589778 SRA589754:SRC589778 TAW589754:TAY589778 TKS589754:TKU589778 TUO589754:TUQ589778 UEK589754:UEM589778 UOG589754:UOI589778 UYC589754:UYE589778 VHY589754:VIA589778 VRU589754:VRW589778 WBQ589754:WBS589778 WLM589754:WLO589778 WVI589754:WVK589778 A655377:C655401 IW655290:IY655314 SS655290:SU655314 ACO655290:ACQ655314 AMK655290:AMM655314 AWG655290:AWI655314 BGC655290:BGE655314 BPY655290:BQA655314 BZU655290:BZW655314 CJQ655290:CJS655314 CTM655290:CTO655314 DDI655290:DDK655314 DNE655290:DNG655314 DXA655290:DXC655314 EGW655290:EGY655314 EQS655290:EQU655314 FAO655290:FAQ655314 FKK655290:FKM655314 FUG655290:FUI655314 GEC655290:GEE655314 GNY655290:GOA655314 GXU655290:GXW655314 HHQ655290:HHS655314 HRM655290:HRO655314 IBI655290:IBK655314 ILE655290:ILG655314 IVA655290:IVC655314 JEW655290:JEY655314 JOS655290:JOU655314 JYO655290:JYQ655314 KIK655290:KIM655314 KSG655290:KSI655314 LCC655290:LCE655314 LLY655290:LMA655314 LVU655290:LVW655314 MFQ655290:MFS655314 MPM655290:MPO655314 MZI655290:MZK655314 NJE655290:NJG655314 NTA655290:NTC655314 OCW655290:OCY655314 OMS655290:OMU655314 OWO655290:OWQ655314 PGK655290:PGM655314 PQG655290:PQI655314 QAC655290:QAE655314 QJY655290:QKA655314 QTU655290:QTW655314 RDQ655290:RDS655314 RNM655290:RNO655314 RXI655290:RXK655314 SHE655290:SHG655314 SRA655290:SRC655314 TAW655290:TAY655314 TKS655290:TKU655314 TUO655290:TUQ655314 UEK655290:UEM655314 UOG655290:UOI655314 UYC655290:UYE655314 VHY655290:VIA655314 VRU655290:VRW655314 WBQ655290:WBS655314 WLM655290:WLO655314 WVI655290:WVK655314 A720913:C720937 IW720826:IY720850 SS720826:SU720850 ACO720826:ACQ720850 AMK720826:AMM720850 AWG720826:AWI720850 BGC720826:BGE720850 BPY720826:BQA720850 BZU720826:BZW720850 CJQ720826:CJS720850 CTM720826:CTO720850 DDI720826:DDK720850 DNE720826:DNG720850 DXA720826:DXC720850 EGW720826:EGY720850 EQS720826:EQU720850 FAO720826:FAQ720850 FKK720826:FKM720850 FUG720826:FUI720850 GEC720826:GEE720850 GNY720826:GOA720850 GXU720826:GXW720850 HHQ720826:HHS720850 HRM720826:HRO720850 IBI720826:IBK720850 ILE720826:ILG720850 IVA720826:IVC720850 JEW720826:JEY720850 JOS720826:JOU720850 JYO720826:JYQ720850 KIK720826:KIM720850 KSG720826:KSI720850 LCC720826:LCE720850 LLY720826:LMA720850 LVU720826:LVW720850 MFQ720826:MFS720850 MPM720826:MPO720850 MZI720826:MZK720850 NJE720826:NJG720850 NTA720826:NTC720850 OCW720826:OCY720850 OMS720826:OMU720850 OWO720826:OWQ720850 PGK720826:PGM720850 PQG720826:PQI720850 QAC720826:QAE720850 QJY720826:QKA720850 QTU720826:QTW720850 RDQ720826:RDS720850 RNM720826:RNO720850 RXI720826:RXK720850 SHE720826:SHG720850 SRA720826:SRC720850 TAW720826:TAY720850 TKS720826:TKU720850 TUO720826:TUQ720850 UEK720826:UEM720850 UOG720826:UOI720850 UYC720826:UYE720850 VHY720826:VIA720850 VRU720826:VRW720850 WBQ720826:WBS720850 WLM720826:WLO720850 WVI720826:WVK720850 A786449:C786473 IW786362:IY786386 SS786362:SU786386 ACO786362:ACQ786386 AMK786362:AMM786386 AWG786362:AWI786386 BGC786362:BGE786386 BPY786362:BQA786386 BZU786362:BZW786386 CJQ786362:CJS786386 CTM786362:CTO786386 DDI786362:DDK786386 DNE786362:DNG786386 DXA786362:DXC786386 EGW786362:EGY786386 EQS786362:EQU786386 FAO786362:FAQ786386 FKK786362:FKM786386 FUG786362:FUI786386 GEC786362:GEE786386 GNY786362:GOA786386 GXU786362:GXW786386 HHQ786362:HHS786386 HRM786362:HRO786386 IBI786362:IBK786386 ILE786362:ILG786386 IVA786362:IVC786386 JEW786362:JEY786386 JOS786362:JOU786386 JYO786362:JYQ786386 KIK786362:KIM786386 KSG786362:KSI786386 LCC786362:LCE786386 LLY786362:LMA786386 LVU786362:LVW786386 MFQ786362:MFS786386 MPM786362:MPO786386 MZI786362:MZK786386 NJE786362:NJG786386 NTA786362:NTC786386 OCW786362:OCY786386 OMS786362:OMU786386 OWO786362:OWQ786386 PGK786362:PGM786386 PQG786362:PQI786386 QAC786362:QAE786386 QJY786362:QKA786386 QTU786362:QTW786386 RDQ786362:RDS786386 RNM786362:RNO786386 RXI786362:RXK786386 SHE786362:SHG786386 SRA786362:SRC786386 TAW786362:TAY786386 TKS786362:TKU786386 TUO786362:TUQ786386 UEK786362:UEM786386 UOG786362:UOI786386 UYC786362:UYE786386 VHY786362:VIA786386 VRU786362:VRW786386 WBQ786362:WBS786386 WLM786362:WLO786386 WVI786362:WVK786386 A851985:C852009 IW851898:IY851922 SS851898:SU851922 ACO851898:ACQ851922 AMK851898:AMM851922 AWG851898:AWI851922 BGC851898:BGE851922 BPY851898:BQA851922 BZU851898:BZW851922 CJQ851898:CJS851922 CTM851898:CTO851922 DDI851898:DDK851922 DNE851898:DNG851922 DXA851898:DXC851922 EGW851898:EGY851922 EQS851898:EQU851922 FAO851898:FAQ851922 FKK851898:FKM851922 FUG851898:FUI851922 GEC851898:GEE851922 GNY851898:GOA851922 GXU851898:GXW851922 HHQ851898:HHS851922 HRM851898:HRO851922 IBI851898:IBK851922 ILE851898:ILG851922 IVA851898:IVC851922 JEW851898:JEY851922 JOS851898:JOU851922 JYO851898:JYQ851922 KIK851898:KIM851922 KSG851898:KSI851922 LCC851898:LCE851922 LLY851898:LMA851922 LVU851898:LVW851922 MFQ851898:MFS851922 MPM851898:MPO851922 MZI851898:MZK851922 NJE851898:NJG851922 NTA851898:NTC851922 OCW851898:OCY851922 OMS851898:OMU851922 OWO851898:OWQ851922 PGK851898:PGM851922 PQG851898:PQI851922 QAC851898:QAE851922 QJY851898:QKA851922 QTU851898:QTW851922 RDQ851898:RDS851922 RNM851898:RNO851922 RXI851898:RXK851922 SHE851898:SHG851922 SRA851898:SRC851922 TAW851898:TAY851922 TKS851898:TKU851922 TUO851898:TUQ851922 UEK851898:UEM851922 UOG851898:UOI851922 UYC851898:UYE851922 VHY851898:VIA851922 VRU851898:VRW851922 WBQ851898:WBS851922 WLM851898:WLO851922 WVI851898:WVK851922 A917521:C917545 IW917434:IY917458 SS917434:SU917458 ACO917434:ACQ917458 AMK917434:AMM917458 AWG917434:AWI917458 BGC917434:BGE917458 BPY917434:BQA917458 BZU917434:BZW917458 CJQ917434:CJS917458 CTM917434:CTO917458 DDI917434:DDK917458 DNE917434:DNG917458 DXA917434:DXC917458 EGW917434:EGY917458 EQS917434:EQU917458 FAO917434:FAQ917458 FKK917434:FKM917458 FUG917434:FUI917458 GEC917434:GEE917458 GNY917434:GOA917458 GXU917434:GXW917458 HHQ917434:HHS917458 HRM917434:HRO917458 IBI917434:IBK917458 ILE917434:ILG917458 IVA917434:IVC917458 JEW917434:JEY917458 JOS917434:JOU917458 JYO917434:JYQ917458 KIK917434:KIM917458 KSG917434:KSI917458 LCC917434:LCE917458 LLY917434:LMA917458 LVU917434:LVW917458 MFQ917434:MFS917458 MPM917434:MPO917458 MZI917434:MZK917458 NJE917434:NJG917458 NTA917434:NTC917458 OCW917434:OCY917458 OMS917434:OMU917458 OWO917434:OWQ917458 PGK917434:PGM917458 PQG917434:PQI917458 QAC917434:QAE917458 QJY917434:QKA917458 QTU917434:QTW917458 RDQ917434:RDS917458 RNM917434:RNO917458 RXI917434:RXK917458 SHE917434:SHG917458 SRA917434:SRC917458 TAW917434:TAY917458 TKS917434:TKU917458 TUO917434:TUQ917458 UEK917434:UEM917458 UOG917434:UOI917458 UYC917434:UYE917458 VHY917434:VIA917458 VRU917434:VRW917458 WBQ917434:WBS917458 WLM917434:WLO917458 WVI917434:WVK917458 A983057:C983081 IW982970:IY982994 SS982970:SU982994 ACO982970:ACQ982994 AMK982970:AMM982994 AWG982970:AWI982994 BGC982970:BGE982994 BPY982970:BQA982994 BZU982970:BZW982994 CJQ982970:CJS982994 CTM982970:CTO982994 DDI982970:DDK982994 DNE982970:DNG982994 DXA982970:DXC982994 EGW982970:EGY982994 EQS982970:EQU982994 FAO982970:FAQ982994 FKK982970:FKM982994 FUG982970:FUI982994 GEC982970:GEE982994 GNY982970:GOA982994 GXU982970:GXW982994 HHQ982970:HHS982994 HRM982970:HRO982994 IBI982970:IBK982994 ILE982970:ILG982994 IVA982970:IVC982994 JEW982970:JEY982994 JOS982970:JOU982994 JYO982970:JYQ982994 KIK982970:KIM982994 KSG982970:KSI982994 LCC982970:LCE982994 LLY982970:LMA982994 LVU982970:LVW982994 MFQ982970:MFS982994 MPM982970:MPO982994 MZI982970:MZK982994 NJE982970:NJG982994 NTA982970:NTC982994 OCW982970:OCY982994 OMS982970:OMU982994 OWO982970:OWQ982994 PGK982970:PGM982994 PQG982970:PQI982994 QAC982970:QAE982994 QJY982970:QKA982994 QTU982970:QTW982994 RDQ982970:RDS982994 RNM982970:RNO982994 RXI982970:RXK982994 SHE982970:SHG982994 SRA982970:SRC982994 TAW982970:TAY982994 TKS982970:TKU982994 TUO982970:TUQ982994 UEK982970:UEM982994 UOG982970:UOI982994 UYC982970:UYE982994 VHY982970:VIA982994 VRU982970:VRW982994 WBQ982970:WBS982994 WLM982970:WLO982994 IV13:IX513 WVH13:WVJ513 WLL13:WLN513 WBP13:WBR513 VRT13:VRV513 VHX13:VHZ513 UYB13:UYD513 UOF13:UOH513 UEJ13:UEL513 TUN13:TUP513 TKR13:TKT513 TAV13:TAX513 SQZ13:SRB513 SHD13:SHF513 RXH13:RXJ513 RNL13:RNN513 RDP13:RDR513 QTT13:QTV513 QJX13:QJZ513 QAB13:QAD513 PQF13:PQH513 PGJ13:PGL513 OWN13:OWP513 OMR13:OMT513 OCV13:OCX513 NSZ13:NTB513 NJD13:NJF513 MZH13:MZJ513 MPL13:MPN513 MFP13:MFR513 LVT13:LVV513 LLX13:LLZ513 LCB13:LCD513 KSF13:KSH513 KIJ13:KIL513 JYN13:JYP513 JOR13:JOT513 JEV13:JEX513 IUZ13:IVB513 ILD13:ILF513 IBH13:IBJ513 HRL13:HRN513 HHP13:HHR513 GXT13:GXV513 GNX13:GNZ513 GEB13:GED513 FUF13:FUH513 FKJ13:FKL513 FAN13:FAP513 EQR13:EQT513 EGV13:EGX513 DWZ13:DXB513 DND13:DNF513 DDH13:DDJ513 CTL13:CTN513 CJP13:CJR513 BZT13:BZV513 BPX13:BPZ513 BGB13:BGD513 AWF13:AWH513 AMJ13:AML513 ACN13:ACP513 SR13:ST513" xr:uid="{00000000-0002-0000-0E00-00000A000000}"/>
    <dataValidation allowBlank="1" showInputMessage="1" showErrorMessage="1" prompt="Enter the total amount paid by DADS for the service code in column &quot;C&quot; for the month in review. If DADS paid more than once during the month for the same service code enter the total amount paid by DADS for the month in review" sqref="WVQ982970:WVQ982994 I65524:I65548 JE65466:JE65490 TA65466:TA65490 ACW65466:ACW65490 AMS65466:AMS65490 AWO65466:AWO65490 BGK65466:BGK65490 BQG65466:BQG65490 CAC65466:CAC65490 CJY65466:CJY65490 CTU65466:CTU65490 DDQ65466:DDQ65490 DNM65466:DNM65490 DXI65466:DXI65490 EHE65466:EHE65490 ERA65466:ERA65490 FAW65466:FAW65490 FKS65466:FKS65490 FUO65466:FUO65490 GEK65466:GEK65490 GOG65466:GOG65490 GYC65466:GYC65490 HHY65466:HHY65490 HRU65466:HRU65490 IBQ65466:IBQ65490 ILM65466:ILM65490 IVI65466:IVI65490 JFE65466:JFE65490 JPA65466:JPA65490 JYW65466:JYW65490 KIS65466:KIS65490 KSO65466:KSO65490 LCK65466:LCK65490 LMG65466:LMG65490 LWC65466:LWC65490 MFY65466:MFY65490 MPU65466:MPU65490 MZQ65466:MZQ65490 NJM65466:NJM65490 NTI65466:NTI65490 ODE65466:ODE65490 ONA65466:ONA65490 OWW65466:OWW65490 PGS65466:PGS65490 PQO65466:PQO65490 QAK65466:QAK65490 QKG65466:QKG65490 QUC65466:QUC65490 RDY65466:RDY65490 RNU65466:RNU65490 RXQ65466:RXQ65490 SHM65466:SHM65490 SRI65466:SRI65490 TBE65466:TBE65490 TLA65466:TLA65490 TUW65466:TUW65490 UES65466:UES65490 UOO65466:UOO65490 UYK65466:UYK65490 VIG65466:VIG65490 VSC65466:VSC65490 WBY65466:WBY65490 WLU65466:WLU65490 WVQ65466:WVQ65490 I131060:I131084 JE131002:JE131026 TA131002:TA131026 ACW131002:ACW131026 AMS131002:AMS131026 AWO131002:AWO131026 BGK131002:BGK131026 BQG131002:BQG131026 CAC131002:CAC131026 CJY131002:CJY131026 CTU131002:CTU131026 DDQ131002:DDQ131026 DNM131002:DNM131026 DXI131002:DXI131026 EHE131002:EHE131026 ERA131002:ERA131026 FAW131002:FAW131026 FKS131002:FKS131026 FUO131002:FUO131026 GEK131002:GEK131026 GOG131002:GOG131026 GYC131002:GYC131026 HHY131002:HHY131026 HRU131002:HRU131026 IBQ131002:IBQ131026 ILM131002:ILM131026 IVI131002:IVI131026 JFE131002:JFE131026 JPA131002:JPA131026 JYW131002:JYW131026 KIS131002:KIS131026 KSO131002:KSO131026 LCK131002:LCK131026 LMG131002:LMG131026 LWC131002:LWC131026 MFY131002:MFY131026 MPU131002:MPU131026 MZQ131002:MZQ131026 NJM131002:NJM131026 NTI131002:NTI131026 ODE131002:ODE131026 ONA131002:ONA131026 OWW131002:OWW131026 PGS131002:PGS131026 PQO131002:PQO131026 QAK131002:QAK131026 QKG131002:QKG131026 QUC131002:QUC131026 RDY131002:RDY131026 RNU131002:RNU131026 RXQ131002:RXQ131026 SHM131002:SHM131026 SRI131002:SRI131026 TBE131002:TBE131026 TLA131002:TLA131026 TUW131002:TUW131026 UES131002:UES131026 UOO131002:UOO131026 UYK131002:UYK131026 VIG131002:VIG131026 VSC131002:VSC131026 WBY131002:WBY131026 WLU131002:WLU131026 WVQ131002:WVQ131026 I196596:I196620 JE196538:JE196562 TA196538:TA196562 ACW196538:ACW196562 AMS196538:AMS196562 AWO196538:AWO196562 BGK196538:BGK196562 BQG196538:BQG196562 CAC196538:CAC196562 CJY196538:CJY196562 CTU196538:CTU196562 DDQ196538:DDQ196562 DNM196538:DNM196562 DXI196538:DXI196562 EHE196538:EHE196562 ERA196538:ERA196562 FAW196538:FAW196562 FKS196538:FKS196562 FUO196538:FUO196562 GEK196538:GEK196562 GOG196538:GOG196562 GYC196538:GYC196562 HHY196538:HHY196562 HRU196538:HRU196562 IBQ196538:IBQ196562 ILM196538:ILM196562 IVI196538:IVI196562 JFE196538:JFE196562 JPA196538:JPA196562 JYW196538:JYW196562 KIS196538:KIS196562 KSO196538:KSO196562 LCK196538:LCK196562 LMG196538:LMG196562 LWC196538:LWC196562 MFY196538:MFY196562 MPU196538:MPU196562 MZQ196538:MZQ196562 NJM196538:NJM196562 NTI196538:NTI196562 ODE196538:ODE196562 ONA196538:ONA196562 OWW196538:OWW196562 PGS196538:PGS196562 PQO196538:PQO196562 QAK196538:QAK196562 QKG196538:QKG196562 QUC196538:QUC196562 RDY196538:RDY196562 RNU196538:RNU196562 RXQ196538:RXQ196562 SHM196538:SHM196562 SRI196538:SRI196562 TBE196538:TBE196562 TLA196538:TLA196562 TUW196538:TUW196562 UES196538:UES196562 UOO196538:UOO196562 UYK196538:UYK196562 VIG196538:VIG196562 VSC196538:VSC196562 WBY196538:WBY196562 WLU196538:WLU196562 WVQ196538:WVQ196562 I262132:I262156 JE262074:JE262098 TA262074:TA262098 ACW262074:ACW262098 AMS262074:AMS262098 AWO262074:AWO262098 BGK262074:BGK262098 BQG262074:BQG262098 CAC262074:CAC262098 CJY262074:CJY262098 CTU262074:CTU262098 DDQ262074:DDQ262098 DNM262074:DNM262098 DXI262074:DXI262098 EHE262074:EHE262098 ERA262074:ERA262098 FAW262074:FAW262098 FKS262074:FKS262098 FUO262074:FUO262098 GEK262074:GEK262098 GOG262074:GOG262098 GYC262074:GYC262098 HHY262074:HHY262098 HRU262074:HRU262098 IBQ262074:IBQ262098 ILM262074:ILM262098 IVI262074:IVI262098 JFE262074:JFE262098 JPA262074:JPA262098 JYW262074:JYW262098 KIS262074:KIS262098 KSO262074:KSO262098 LCK262074:LCK262098 LMG262074:LMG262098 LWC262074:LWC262098 MFY262074:MFY262098 MPU262074:MPU262098 MZQ262074:MZQ262098 NJM262074:NJM262098 NTI262074:NTI262098 ODE262074:ODE262098 ONA262074:ONA262098 OWW262074:OWW262098 PGS262074:PGS262098 PQO262074:PQO262098 QAK262074:QAK262098 QKG262074:QKG262098 QUC262074:QUC262098 RDY262074:RDY262098 RNU262074:RNU262098 RXQ262074:RXQ262098 SHM262074:SHM262098 SRI262074:SRI262098 TBE262074:TBE262098 TLA262074:TLA262098 TUW262074:TUW262098 UES262074:UES262098 UOO262074:UOO262098 UYK262074:UYK262098 VIG262074:VIG262098 VSC262074:VSC262098 WBY262074:WBY262098 WLU262074:WLU262098 WVQ262074:WVQ262098 I327668:I327692 JE327610:JE327634 TA327610:TA327634 ACW327610:ACW327634 AMS327610:AMS327634 AWO327610:AWO327634 BGK327610:BGK327634 BQG327610:BQG327634 CAC327610:CAC327634 CJY327610:CJY327634 CTU327610:CTU327634 DDQ327610:DDQ327634 DNM327610:DNM327634 DXI327610:DXI327634 EHE327610:EHE327634 ERA327610:ERA327634 FAW327610:FAW327634 FKS327610:FKS327634 FUO327610:FUO327634 GEK327610:GEK327634 GOG327610:GOG327634 GYC327610:GYC327634 HHY327610:HHY327634 HRU327610:HRU327634 IBQ327610:IBQ327634 ILM327610:ILM327634 IVI327610:IVI327634 JFE327610:JFE327634 JPA327610:JPA327634 JYW327610:JYW327634 KIS327610:KIS327634 KSO327610:KSO327634 LCK327610:LCK327634 LMG327610:LMG327634 LWC327610:LWC327634 MFY327610:MFY327634 MPU327610:MPU327634 MZQ327610:MZQ327634 NJM327610:NJM327634 NTI327610:NTI327634 ODE327610:ODE327634 ONA327610:ONA327634 OWW327610:OWW327634 PGS327610:PGS327634 PQO327610:PQO327634 QAK327610:QAK327634 QKG327610:QKG327634 QUC327610:QUC327634 RDY327610:RDY327634 RNU327610:RNU327634 RXQ327610:RXQ327634 SHM327610:SHM327634 SRI327610:SRI327634 TBE327610:TBE327634 TLA327610:TLA327634 TUW327610:TUW327634 UES327610:UES327634 UOO327610:UOO327634 UYK327610:UYK327634 VIG327610:VIG327634 VSC327610:VSC327634 WBY327610:WBY327634 WLU327610:WLU327634 WVQ327610:WVQ327634 I393204:I393228 JE393146:JE393170 TA393146:TA393170 ACW393146:ACW393170 AMS393146:AMS393170 AWO393146:AWO393170 BGK393146:BGK393170 BQG393146:BQG393170 CAC393146:CAC393170 CJY393146:CJY393170 CTU393146:CTU393170 DDQ393146:DDQ393170 DNM393146:DNM393170 DXI393146:DXI393170 EHE393146:EHE393170 ERA393146:ERA393170 FAW393146:FAW393170 FKS393146:FKS393170 FUO393146:FUO393170 GEK393146:GEK393170 GOG393146:GOG393170 GYC393146:GYC393170 HHY393146:HHY393170 HRU393146:HRU393170 IBQ393146:IBQ393170 ILM393146:ILM393170 IVI393146:IVI393170 JFE393146:JFE393170 JPA393146:JPA393170 JYW393146:JYW393170 KIS393146:KIS393170 KSO393146:KSO393170 LCK393146:LCK393170 LMG393146:LMG393170 LWC393146:LWC393170 MFY393146:MFY393170 MPU393146:MPU393170 MZQ393146:MZQ393170 NJM393146:NJM393170 NTI393146:NTI393170 ODE393146:ODE393170 ONA393146:ONA393170 OWW393146:OWW393170 PGS393146:PGS393170 PQO393146:PQO393170 QAK393146:QAK393170 QKG393146:QKG393170 QUC393146:QUC393170 RDY393146:RDY393170 RNU393146:RNU393170 RXQ393146:RXQ393170 SHM393146:SHM393170 SRI393146:SRI393170 TBE393146:TBE393170 TLA393146:TLA393170 TUW393146:TUW393170 UES393146:UES393170 UOO393146:UOO393170 UYK393146:UYK393170 VIG393146:VIG393170 VSC393146:VSC393170 WBY393146:WBY393170 WLU393146:WLU393170 WVQ393146:WVQ393170 I458740:I458764 JE458682:JE458706 TA458682:TA458706 ACW458682:ACW458706 AMS458682:AMS458706 AWO458682:AWO458706 BGK458682:BGK458706 BQG458682:BQG458706 CAC458682:CAC458706 CJY458682:CJY458706 CTU458682:CTU458706 DDQ458682:DDQ458706 DNM458682:DNM458706 DXI458682:DXI458706 EHE458682:EHE458706 ERA458682:ERA458706 FAW458682:FAW458706 FKS458682:FKS458706 FUO458682:FUO458706 GEK458682:GEK458706 GOG458682:GOG458706 GYC458682:GYC458706 HHY458682:HHY458706 HRU458682:HRU458706 IBQ458682:IBQ458706 ILM458682:ILM458706 IVI458682:IVI458706 JFE458682:JFE458706 JPA458682:JPA458706 JYW458682:JYW458706 KIS458682:KIS458706 KSO458682:KSO458706 LCK458682:LCK458706 LMG458682:LMG458706 LWC458682:LWC458706 MFY458682:MFY458706 MPU458682:MPU458706 MZQ458682:MZQ458706 NJM458682:NJM458706 NTI458682:NTI458706 ODE458682:ODE458706 ONA458682:ONA458706 OWW458682:OWW458706 PGS458682:PGS458706 PQO458682:PQO458706 QAK458682:QAK458706 QKG458682:QKG458706 QUC458682:QUC458706 RDY458682:RDY458706 RNU458682:RNU458706 RXQ458682:RXQ458706 SHM458682:SHM458706 SRI458682:SRI458706 TBE458682:TBE458706 TLA458682:TLA458706 TUW458682:TUW458706 UES458682:UES458706 UOO458682:UOO458706 UYK458682:UYK458706 VIG458682:VIG458706 VSC458682:VSC458706 WBY458682:WBY458706 WLU458682:WLU458706 WVQ458682:WVQ458706 I524276:I524300 JE524218:JE524242 TA524218:TA524242 ACW524218:ACW524242 AMS524218:AMS524242 AWO524218:AWO524242 BGK524218:BGK524242 BQG524218:BQG524242 CAC524218:CAC524242 CJY524218:CJY524242 CTU524218:CTU524242 DDQ524218:DDQ524242 DNM524218:DNM524242 DXI524218:DXI524242 EHE524218:EHE524242 ERA524218:ERA524242 FAW524218:FAW524242 FKS524218:FKS524242 FUO524218:FUO524242 GEK524218:GEK524242 GOG524218:GOG524242 GYC524218:GYC524242 HHY524218:HHY524242 HRU524218:HRU524242 IBQ524218:IBQ524242 ILM524218:ILM524242 IVI524218:IVI524242 JFE524218:JFE524242 JPA524218:JPA524242 JYW524218:JYW524242 KIS524218:KIS524242 KSO524218:KSO524242 LCK524218:LCK524242 LMG524218:LMG524242 LWC524218:LWC524242 MFY524218:MFY524242 MPU524218:MPU524242 MZQ524218:MZQ524242 NJM524218:NJM524242 NTI524218:NTI524242 ODE524218:ODE524242 ONA524218:ONA524242 OWW524218:OWW524242 PGS524218:PGS524242 PQO524218:PQO524242 QAK524218:QAK524242 QKG524218:QKG524242 QUC524218:QUC524242 RDY524218:RDY524242 RNU524218:RNU524242 RXQ524218:RXQ524242 SHM524218:SHM524242 SRI524218:SRI524242 TBE524218:TBE524242 TLA524218:TLA524242 TUW524218:TUW524242 UES524218:UES524242 UOO524218:UOO524242 UYK524218:UYK524242 VIG524218:VIG524242 VSC524218:VSC524242 WBY524218:WBY524242 WLU524218:WLU524242 WVQ524218:WVQ524242 I589812:I589836 JE589754:JE589778 TA589754:TA589778 ACW589754:ACW589778 AMS589754:AMS589778 AWO589754:AWO589778 BGK589754:BGK589778 BQG589754:BQG589778 CAC589754:CAC589778 CJY589754:CJY589778 CTU589754:CTU589778 DDQ589754:DDQ589778 DNM589754:DNM589778 DXI589754:DXI589778 EHE589754:EHE589778 ERA589754:ERA589778 FAW589754:FAW589778 FKS589754:FKS589778 FUO589754:FUO589778 GEK589754:GEK589778 GOG589754:GOG589778 GYC589754:GYC589778 HHY589754:HHY589778 HRU589754:HRU589778 IBQ589754:IBQ589778 ILM589754:ILM589778 IVI589754:IVI589778 JFE589754:JFE589778 JPA589754:JPA589778 JYW589754:JYW589778 KIS589754:KIS589778 KSO589754:KSO589778 LCK589754:LCK589778 LMG589754:LMG589778 LWC589754:LWC589778 MFY589754:MFY589778 MPU589754:MPU589778 MZQ589754:MZQ589778 NJM589754:NJM589778 NTI589754:NTI589778 ODE589754:ODE589778 ONA589754:ONA589778 OWW589754:OWW589778 PGS589754:PGS589778 PQO589754:PQO589778 QAK589754:QAK589778 QKG589754:QKG589778 QUC589754:QUC589778 RDY589754:RDY589778 RNU589754:RNU589778 RXQ589754:RXQ589778 SHM589754:SHM589778 SRI589754:SRI589778 TBE589754:TBE589778 TLA589754:TLA589778 TUW589754:TUW589778 UES589754:UES589778 UOO589754:UOO589778 UYK589754:UYK589778 VIG589754:VIG589778 VSC589754:VSC589778 WBY589754:WBY589778 WLU589754:WLU589778 WVQ589754:WVQ589778 I655348:I655372 JE655290:JE655314 TA655290:TA655314 ACW655290:ACW655314 AMS655290:AMS655314 AWO655290:AWO655314 BGK655290:BGK655314 BQG655290:BQG655314 CAC655290:CAC655314 CJY655290:CJY655314 CTU655290:CTU655314 DDQ655290:DDQ655314 DNM655290:DNM655314 DXI655290:DXI655314 EHE655290:EHE655314 ERA655290:ERA655314 FAW655290:FAW655314 FKS655290:FKS655314 FUO655290:FUO655314 GEK655290:GEK655314 GOG655290:GOG655314 GYC655290:GYC655314 HHY655290:HHY655314 HRU655290:HRU655314 IBQ655290:IBQ655314 ILM655290:ILM655314 IVI655290:IVI655314 JFE655290:JFE655314 JPA655290:JPA655314 JYW655290:JYW655314 KIS655290:KIS655314 KSO655290:KSO655314 LCK655290:LCK655314 LMG655290:LMG655314 LWC655290:LWC655314 MFY655290:MFY655314 MPU655290:MPU655314 MZQ655290:MZQ655314 NJM655290:NJM655314 NTI655290:NTI655314 ODE655290:ODE655314 ONA655290:ONA655314 OWW655290:OWW655314 PGS655290:PGS655314 PQO655290:PQO655314 QAK655290:QAK655314 QKG655290:QKG655314 QUC655290:QUC655314 RDY655290:RDY655314 RNU655290:RNU655314 RXQ655290:RXQ655314 SHM655290:SHM655314 SRI655290:SRI655314 TBE655290:TBE655314 TLA655290:TLA655314 TUW655290:TUW655314 UES655290:UES655314 UOO655290:UOO655314 UYK655290:UYK655314 VIG655290:VIG655314 VSC655290:VSC655314 WBY655290:WBY655314 WLU655290:WLU655314 WVQ655290:WVQ655314 I720884:I720908 JE720826:JE720850 TA720826:TA720850 ACW720826:ACW720850 AMS720826:AMS720850 AWO720826:AWO720850 BGK720826:BGK720850 BQG720826:BQG720850 CAC720826:CAC720850 CJY720826:CJY720850 CTU720826:CTU720850 DDQ720826:DDQ720850 DNM720826:DNM720850 DXI720826:DXI720850 EHE720826:EHE720850 ERA720826:ERA720850 FAW720826:FAW720850 FKS720826:FKS720850 FUO720826:FUO720850 GEK720826:GEK720850 GOG720826:GOG720850 GYC720826:GYC720850 HHY720826:HHY720850 HRU720826:HRU720850 IBQ720826:IBQ720850 ILM720826:ILM720850 IVI720826:IVI720850 JFE720826:JFE720850 JPA720826:JPA720850 JYW720826:JYW720850 KIS720826:KIS720850 KSO720826:KSO720850 LCK720826:LCK720850 LMG720826:LMG720850 LWC720826:LWC720850 MFY720826:MFY720850 MPU720826:MPU720850 MZQ720826:MZQ720850 NJM720826:NJM720850 NTI720826:NTI720850 ODE720826:ODE720850 ONA720826:ONA720850 OWW720826:OWW720850 PGS720826:PGS720850 PQO720826:PQO720850 QAK720826:QAK720850 QKG720826:QKG720850 QUC720826:QUC720850 RDY720826:RDY720850 RNU720826:RNU720850 RXQ720826:RXQ720850 SHM720826:SHM720850 SRI720826:SRI720850 TBE720826:TBE720850 TLA720826:TLA720850 TUW720826:TUW720850 UES720826:UES720850 UOO720826:UOO720850 UYK720826:UYK720850 VIG720826:VIG720850 VSC720826:VSC720850 WBY720826:WBY720850 WLU720826:WLU720850 WVQ720826:WVQ720850 I786420:I786444 JE786362:JE786386 TA786362:TA786386 ACW786362:ACW786386 AMS786362:AMS786386 AWO786362:AWO786386 BGK786362:BGK786386 BQG786362:BQG786386 CAC786362:CAC786386 CJY786362:CJY786386 CTU786362:CTU786386 DDQ786362:DDQ786386 DNM786362:DNM786386 DXI786362:DXI786386 EHE786362:EHE786386 ERA786362:ERA786386 FAW786362:FAW786386 FKS786362:FKS786386 FUO786362:FUO786386 GEK786362:GEK786386 GOG786362:GOG786386 GYC786362:GYC786386 HHY786362:HHY786386 HRU786362:HRU786386 IBQ786362:IBQ786386 ILM786362:ILM786386 IVI786362:IVI786386 JFE786362:JFE786386 JPA786362:JPA786386 JYW786362:JYW786386 KIS786362:KIS786386 KSO786362:KSO786386 LCK786362:LCK786386 LMG786362:LMG786386 LWC786362:LWC786386 MFY786362:MFY786386 MPU786362:MPU786386 MZQ786362:MZQ786386 NJM786362:NJM786386 NTI786362:NTI786386 ODE786362:ODE786386 ONA786362:ONA786386 OWW786362:OWW786386 PGS786362:PGS786386 PQO786362:PQO786386 QAK786362:QAK786386 QKG786362:QKG786386 QUC786362:QUC786386 RDY786362:RDY786386 RNU786362:RNU786386 RXQ786362:RXQ786386 SHM786362:SHM786386 SRI786362:SRI786386 TBE786362:TBE786386 TLA786362:TLA786386 TUW786362:TUW786386 UES786362:UES786386 UOO786362:UOO786386 UYK786362:UYK786386 VIG786362:VIG786386 VSC786362:VSC786386 WBY786362:WBY786386 WLU786362:WLU786386 WVQ786362:WVQ786386 I851956:I851980 JE851898:JE851922 TA851898:TA851922 ACW851898:ACW851922 AMS851898:AMS851922 AWO851898:AWO851922 BGK851898:BGK851922 BQG851898:BQG851922 CAC851898:CAC851922 CJY851898:CJY851922 CTU851898:CTU851922 DDQ851898:DDQ851922 DNM851898:DNM851922 DXI851898:DXI851922 EHE851898:EHE851922 ERA851898:ERA851922 FAW851898:FAW851922 FKS851898:FKS851922 FUO851898:FUO851922 GEK851898:GEK851922 GOG851898:GOG851922 GYC851898:GYC851922 HHY851898:HHY851922 HRU851898:HRU851922 IBQ851898:IBQ851922 ILM851898:ILM851922 IVI851898:IVI851922 JFE851898:JFE851922 JPA851898:JPA851922 JYW851898:JYW851922 KIS851898:KIS851922 KSO851898:KSO851922 LCK851898:LCK851922 LMG851898:LMG851922 LWC851898:LWC851922 MFY851898:MFY851922 MPU851898:MPU851922 MZQ851898:MZQ851922 NJM851898:NJM851922 NTI851898:NTI851922 ODE851898:ODE851922 ONA851898:ONA851922 OWW851898:OWW851922 PGS851898:PGS851922 PQO851898:PQO851922 QAK851898:QAK851922 QKG851898:QKG851922 QUC851898:QUC851922 RDY851898:RDY851922 RNU851898:RNU851922 RXQ851898:RXQ851922 SHM851898:SHM851922 SRI851898:SRI851922 TBE851898:TBE851922 TLA851898:TLA851922 TUW851898:TUW851922 UES851898:UES851922 UOO851898:UOO851922 UYK851898:UYK851922 VIG851898:VIG851922 VSC851898:VSC851922 WBY851898:WBY851922 WLU851898:WLU851922 WVQ851898:WVQ851922 I917492:I917516 JE917434:JE917458 TA917434:TA917458 ACW917434:ACW917458 AMS917434:AMS917458 AWO917434:AWO917458 BGK917434:BGK917458 BQG917434:BQG917458 CAC917434:CAC917458 CJY917434:CJY917458 CTU917434:CTU917458 DDQ917434:DDQ917458 DNM917434:DNM917458 DXI917434:DXI917458 EHE917434:EHE917458 ERA917434:ERA917458 FAW917434:FAW917458 FKS917434:FKS917458 FUO917434:FUO917458 GEK917434:GEK917458 GOG917434:GOG917458 GYC917434:GYC917458 HHY917434:HHY917458 HRU917434:HRU917458 IBQ917434:IBQ917458 ILM917434:ILM917458 IVI917434:IVI917458 JFE917434:JFE917458 JPA917434:JPA917458 JYW917434:JYW917458 KIS917434:KIS917458 KSO917434:KSO917458 LCK917434:LCK917458 LMG917434:LMG917458 LWC917434:LWC917458 MFY917434:MFY917458 MPU917434:MPU917458 MZQ917434:MZQ917458 NJM917434:NJM917458 NTI917434:NTI917458 ODE917434:ODE917458 ONA917434:ONA917458 OWW917434:OWW917458 PGS917434:PGS917458 PQO917434:PQO917458 QAK917434:QAK917458 QKG917434:QKG917458 QUC917434:QUC917458 RDY917434:RDY917458 RNU917434:RNU917458 RXQ917434:RXQ917458 SHM917434:SHM917458 SRI917434:SRI917458 TBE917434:TBE917458 TLA917434:TLA917458 TUW917434:TUW917458 UES917434:UES917458 UOO917434:UOO917458 UYK917434:UYK917458 VIG917434:VIG917458 VSC917434:VSC917458 WBY917434:WBY917458 WLU917434:WLU917458 WVQ917434:WVQ917458 I983028:I983052 JE982970:JE982994 TA982970:TA982994 ACW982970:ACW982994 AMS982970:AMS982994 AWO982970:AWO982994 BGK982970:BGK982994 BQG982970:BQG982994 CAC982970:CAC982994 CJY982970:CJY982994 CTU982970:CTU982994 DDQ982970:DDQ982994 DNM982970:DNM982994 DXI982970:DXI982994 EHE982970:EHE982994 ERA982970:ERA982994 FAW982970:FAW982994 FKS982970:FKS982994 FUO982970:FUO982994 GEK982970:GEK982994 GOG982970:GOG982994 GYC982970:GYC982994 HHY982970:HHY982994 HRU982970:HRU982994 IBQ982970:IBQ982994 ILM982970:ILM982994 IVI982970:IVI982994 JFE982970:JFE982994 JPA982970:JPA982994 JYW982970:JYW982994 KIS982970:KIS982994 KSO982970:KSO982994 LCK982970:LCK982994 LMG982970:LMG982994 LWC982970:LWC982994 MFY982970:MFY982994 MPU982970:MPU982994 MZQ982970:MZQ982994 NJM982970:NJM982994 NTI982970:NTI982994 ODE982970:ODE982994 ONA982970:ONA982994 OWW982970:OWW982994 PGS982970:PGS982994 PQO982970:PQO982994 QAK982970:QAK982994 QKG982970:QKG982994 QUC982970:QUC982994 RDY982970:RDY982994 RNU982970:RNU982994 RXQ982970:RXQ982994 SHM982970:SHM982994 SRI982970:SRI982994 TBE982970:TBE982994 TLA982970:TLA982994 TUW982970:TUW982994 UES982970:UES982994 UOO982970:UOO982994 UYK982970:UYK982994 VIG982970:VIG982994 VSC982970:VSC982994 WBY982970:WBY982994 WLU982970:WLU982994 JD13:JD513 WVP13:WVP513 WLT13:WLT513 WBX13:WBX513 VSB13:VSB513 VIF13:VIF513 UYJ13:UYJ513 UON13:UON513 UER13:UER513 TUV13:TUV513 TKZ13:TKZ513 TBD13:TBD513 SRH13:SRH513 SHL13:SHL513 RXP13:RXP513 RNT13:RNT513 RDX13:RDX513 QUB13:QUB513 QKF13:QKF513 QAJ13:QAJ513 PQN13:PQN513 PGR13:PGR513 OWV13:OWV513 OMZ13:OMZ513 ODD13:ODD513 NTH13:NTH513 NJL13:NJL513 MZP13:MZP513 MPT13:MPT513 MFX13:MFX513 LWB13:LWB513 LMF13:LMF513 LCJ13:LCJ513 KSN13:KSN513 KIR13:KIR513 JYV13:JYV513 JOZ13:JOZ513 JFD13:JFD513 IVH13:IVH513 ILL13:ILL513 IBP13:IBP513 HRT13:HRT513 HHX13:HHX513 GYB13:GYB513 GOF13:GOF513 GEJ13:GEJ513 FUN13:FUN513 FKR13:FKR513 FAV13:FAV513 EQZ13:EQZ513 EHD13:EHD513 DXH13:DXH513 DNL13:DNL513 DDP13:DDP513 CTT13:CTT513 CJX13:CJX513 CAB13:CAB513 BQF13:BQF513 BGJ13:BGJ513 AWN13:AWN513 AMR13:AMR513 ACV13:ACV513 SZ13:SZ513 J13:J513" xr:uid="{00000000-0002-0000-0E00-00000B000000}"/>
    <dataValidation allowBlank="1" showInputMessage="1" showErrorMessage="1" prompt="Enter the total co-pay amount for the service code in column &quot;C&quot; for the month in review. If the individual paid more than once during the month for the same service code enter the total amount paid by the individual for the month in review" sqref="WVR982970:WVR982994 J65524:J65548 JF65466:JF65490 TB65466:TB65490 ACX65466:ACX65490 AMT65466:AMT65490 AWP65466:AWP65490 BGL65466:BGL65490 BQH65466:BQH65490 CAD65466:CAD65490 CJZ65466:CJZ65490 CTV65466:CTV65490 DDR65466:DDR65490 DNN65466:DNN65490 DXJ65466:DXJ65490 EHF65466:EHF65490 ERB65466:ERB65490 FAX65466:FAX65490 FKT65466:FKT65490 FUP65466:FUP65490 GEL65466:GEL65490 GOH65466:GOH65490 GYD65466:GYD65490 HHZ65466:HHZ65490 HRV65466:HRV65490 IBR65466:IBR65490 ILN65466:ILN65490 IVJ65466:IVJ65490 JFF65466:JFF65490 JPB65466:JPB65490 JYX65466:JYX65490 KIT65466:KIT65490 KSP65466:KSP65490 LCL65466:LCL65490 LMH65466:LMH65490 LWD65466:LWD65490 MFZ65466:MFZ65490 MPV65466:MPV65490 MZR65466:MZR65490 NJN65466:NJN65490 NTJ65466:NTJ65490 ODF65466:ODF65490 ONB65466:ONB65490 OWX65466:OWX65490 PGT65466:PGT65490 PQP65466:PQP65490 QAL65466:QAL65490 QKH65466:QKH65490 QUD65466:QUD65490 RDZ65466:RDZ65490 RNV65466:RNV65490 RXR65466:RXR65490 SHN65466:SHN65490 SRJ65466:SRJ65490 TBF65466:TBF65490 TLB65466:TLB65490 TUX65466:TUX65490 UET65466:UET65490 UOP65466:UOP65490 UYL65466:UYL65490 VIH65466:VIH65490 VSD65466:VSD65490 WBZ65466:WBZ65490 WLV65466:WLV65490 WVR65466:WVR65490 J131060:J131084 JF131002:JF131026 TB131002:TB131026 ACX131002:ACX131026 AMT131002:AMT131026 AWP131002:AWP131026 BGL131002:BGL131026 BQH131002:BQH131026 CAD131002:CAD131026 CJZ131002:CJZ131026 CTV131002:CTV131026 DDR131002:DDR131026 DNN131002:DNN131026 DXJ131002:DXJ131026 EHF131002:EHF131026 ERB131002:ERB131026 FAX131002:FAX131026 FKT131002:FKT131026 FUP131002:FUP131026 GEL131002:GEL131026 GOH131002:GOH131026 GYD131002:GYD131026 HHZ131002:HHZ131026 HRV131002:HRV131026 IBR131002:IBR131026 ILN131002:ILN131026 IVJ131002:IVJ131026 JFF131002:JFF131026 JPB131002:JPB131026 JYX131002:JYX131026 KIT131002:KIT131026 KSP131002:KSP131026 LCL131002:LCL131026 LMH131002:LMH131026 LWD131002:LWD131026 MFZ131002:MFZ131026 MPV131002:MPV131026 MZR131002:MZR131026 NJN131002:NJN131026 NTJ131002:NTJ131026 ODF131002:ODF131026 ONB131002:ONB131026 OWX131002:OWX131026 PGT131002:PGT131026 PQP131002:PQP131026 QAL131002:QAL131026 QKH131002:QKH131026 QUD131002:QUD131026 RDZ131002:RDZ131026 RNV131002:RNV131026 RXR131002:RXR131026 SHN131002:SHN131026 SRJ131002:SRJ131026 TBF131002:TBF131026 TLB131002:TLB131026 TUX131002:TUX131026 UET131002:UET131026 UOP131002:UOP131026 UYL131002:UYL131026 VIH131002:VIH131026 VSD131002:VSD131026 WBZ131002:WBZ131026 WLV131002:WLV131026 WVR131002:WVR131026 J196596:J196620 JF196538:JF196562 TB196538:TB196562 ACX196538:ACX196562 AMT196538:AMT196562 AWP196538:AWP196562 BGL196538:BGL196562 BQH196538:BQH196562 CAD196538:CAD196562 CJZ196538:CJZ196562 CTV196538:CTV196562 DDR196538:DDR196562 DNN196538:DNN196562 DXJ196538:DXJ196562 EHF196538:EHF196562 ERB196538:ERB196562 FAX196538:FAX196562 FKT196538:FKT196562 FUP196538:FUP196562 GEL196538:GEL196562 GOH196538:GOH196562 GYD196538:GYD196562 HHZ196538:HHZ196562 HRV196538:HRV196562 IBR196538:IBR196562 ILN196538:ILN196562 IVJ196538:IVJ196562 JFF196538:JFF196562 JPB196538:JPB196562 JYX196538:JYX196562 KIT196538:KIT196562 KSP196538:KSP196562 LCL196538:LCL196562 LMH196538:LMH196562 LWD196538:LWD196562 MFZ196538:MFZ196562 MPV196538:MPV196562 MZR196538:MZR196562 NJN196538:NJN196562 NTJ196538:NTJ196562 ODF196538:ODF196562 ONB196538:ONB196562 OWX196538:OWX196562 PGT196538:PGT196562 PQP196538:PQP196562 QAL196538:QAL196562 QKH196538:QKH196562 QUD196538:QUD196562 RDZ196538:RDZ196562 RNV196538:RNV196562 RXR196538:RXR196562 SHN196538:SHN196562 SRJ196538:SRJ196562 TBF196538:TBF196562 TLB196538:TLB196562 TUX196538:TUX196562 UET196538:UET196562 UOP196538:UOP196562 UYL196538:UYL196562 VIH196538:VIH196562 VSD196538:VSD196562 WBZ196538:WBZ196562 WLV196538:WLV196562 WVR196538:WVR196562 J262132:J262156 JF262074:JF262098 TB262074:TB262098 ACX262074:ACX262098 AMT262074:AMT262098 AWP262074:AWP262098 BGL262074:BGL262098 BQH262074:BQH262098 CAD262074:CAD262098 CJZ262074:CJZ262098 CTV262074:CTV262098 DDR262074:DDR262098 DNN262074:DNN262098 DXJ262074:DXJ262098 EHF262074:EHF262098 ERB262074:ERB262098 FAX262074:FAX262098 FKT262074:FKT262098 FUP262074:FUP262098 GEL262074:GEL262098 GOH262074:GOH262098 GYD262074:GYD262098 HHZ262074:HHZ262098 HRV262074:HRV262098 IBR262074:IBR262098 ILN262074:ILN262098 IVJ262074:IVJ262098 JFF262074:JFF262098 JPB262074:JPB262098 JYX262074:JYX262098 KIT262074:KIT262098 KSP262074:KSP262098 LCL262074:LCL262098 LMH262074:LMH262098 LWD262074:LWD262098 MFZ262074:MFZ262098 MPV262074:MPV262098 MZR262074:MZR262098 NJN262074:NJN262098 NTJ262074:NTJ262098 ODF262074:ODF262098 ONB262074:ONB262098 OWX262074:OWX262098 PGT262074:PGT262098 PQP262074:PQP262098 QAL262074:QAL262098 QKH262074:QKH262098 QUD262074:QUD262098 RDZ262074:RDZ262098 RNV262074:RNV262098 RXR262074:RXR262098 SHN262074:SHN262098 SRJ262074:SRJ262098 TBF262074:TBF262098 TLB262074:TLB262098 TUX262074:TUX262098 UET262074:UET262098 UOP262074:UOP262098 UYL262074:UYL262098 VIH262074:VIH262098 VSD262074:VSD262098 WBZ262074:WBZ262098 WLV262074:WLV262098 WVR262074:WVR262098 J327668:J327692 JF327610:JF327634 TB327610:TB327634 ACX327610:ACX327634 AMT327610:AMT327634 AWP327610:AWP327634 BGL327610:BGL327634 BQH327610:BQH327634 CAD327610:CAD327634 CJZ327610:CJZ327634 CTV327610:CTV327634 DDR327610:DDR327634 DNN327610:DNN327634 DXJ327610:DXJ327634 EHF327610:EHF327634 ERB327610:ERB327634 FAX327610:FAX327634 FKT327610:FKT327634 FUP327610:FUP327634 GEL327610:GEL327634 GOH327610:GOH327634 GYD327610:GYD327634 HHZ327610:HHZ327634 HRV327610:HRV327634 IBR327610:IBR327634 ILN327610:ILN327634 IVJ327610:IVJ327634 JFF327610:JFF327634 JPB327610:JPB327634 JYX327610:JYX327634 KIT327610:KIT327634 KSP327610:KSP327634 LCL327610:LCL327634 LMH327610:LMH327634 LWD327610:LWD327634 MFZ327610:MFZ327634 MPV327610:MPV327634 MZR327610:MZR327634 NJN327610:NJN327634 NTJ327610:NTJ327634 ODF327610:ODF327634 ONB327610:ONB327634 OWX327610:OWX327634 PGT327610:PGT327634 PQP327610:PQP327634 QAL327610:QAL327634 QKH327610:QKH327634 QUD327610:QUD327634 RDZ327610:RDZ327634 RNV327610:RNV327634 RXR327610:RXR327634 SHN327610:SHN327634 SRJ327610:SRJ327634 TBF327610:TBF327634 TLB327610:TLB327634 TUX327610:TUX327634 UET327610:UET327634 UOP327610:UOP327634 UYL327610:UYL327634 VIH327610:VIH327634 VSD327610:VSD327634 WBZ327610:WBZ327634 WLV327610:WLV327634 WVR327610:WVR327634 J393204:J393228 JF393146:JF393170 TB393146:TB393170 ACX393146:ACX393170 AMT393146:AMT393170 AWP393146:AWP393170 BGL393146:BGL393170 BQH393146:BQH393170 CAD393146:CAD393170 CJZ393146:CJZ393170 CTV393146:CTV393170 DDR393146:DDR393170 DNN393146:DNN393170 DXJ393146:DXJ393170 EHF393146:EHF393170 ERB393146:ERB393170 FAX393146:FAX393170 FKT393146:FKT393170 FUP393146:FUP393170 GEL393146:GEL393170 GOH393146:GOH393170 GYD393146:GYD393170 HHZ393146:HHZ393170 HRV393146:HRV393170 IBR393146:IBR393170 ILN393146:ILN393170 IVJ393146:IVJ393170 JFF393146:JFF393170 JPB393146:JPB393170 JYX393146:JYX393170 KIT393146:KIT393170 KSP393146:KSP393170 LCL393146:LCL393170 LMH393146:LMH393170 LWD393146:LWD393170 MFZ393146:MFZ393170 MPV393146:MPV393170 MZR393146:MZR393170 NJN393146:NJN393170 NTJ393146:NTJ393170 ODF393146:ODF393170 ONB393146:ONB393170 OWX393146:OWX393170 PGT393146:PGT393170 PQP393146:PQP393170 QAL393146:QAL393170 QKH393146:QKH393170 QUD393146:QUD393170 RDZ393146:RDZ393170 RNV393146:RNV393170 RXR393146:RXR393170 SHN393146:SHN393170 SRJ393146:SRJ393170 TBF393146:TBF393170 TLB393146:TLB393170 TUX393146:TUX393170 UET393146:UET393170 UOP393146:UOP393170 UYL393146:UYL393170 VIH393146:VIH393170 VSD393146:VSD393170 WBZ393146:WBZ393170 WLV393146:WLV393170 WVR393146:WVR393170 J458740:J458764 JF458682:JF458706 TB458682:TB458706 ACX458682:ACX458706 AMT458682:AMT458706 AWP458682:AWP458706 BGL458682:BGL458706 BQH458682:BQH458706 CAD458682:CAD458706 CJZ458682:CJZ458706 CTV458682:CTV458706 DDR458682:DDR458706 DNN458682:DNN458706 DXJ458682:DXJ458706 EHF458682:EHF458706 ERB458682:ERB458706 FAX458682:FAX458706 FKT458682:FKT458706 FUP458682:FUP458706 GEL458682:GEL458706 GOH458682:GOH458706 GYD458682:GYD458706 HHZ458682:HHZ458706 HRV458682:HRV458706 IBR458682:IBR458706 ILN458682:ILN458706 IVJ458682:IVJ458706 JFF458682:JFF458706 JPB458682:JPB458706 JYX458682:JYX458706 KIT458682:KIT458706 KSP458682:KSP458706 LCL458682:LCL458706 LMH458682:LMH458706 LWD458682:LWD458706 MFZ458682:MFZ458706 MPV458682:MPV458706 MZR458682:MZR458706 NJN458682:NJN458706 NTJ458682:NTJ458706 ODF458682:ODF458706 ONB458682:ONB458706 OWX458682:OWX458706 PGT458682:PGT458706 PQP458682:PQP458706 QAL458682:QAL458706 QKH458682:QKH458706 QUD458682:QUD458706 RDZ458682:RDZ458706 RNV458682:RNV458706 RXR458682:RXR458706 SHN458682:SHN458706 SRJ458682:SRJ458706 TBF458682:TBF458706 TLB458682:TLB458706 TUX458682:TUX458706 UET458682:UET458706 UOP458682:UOP458706 UYL458682:UYL458706 VIH458682:VIH458706 VSD458682:VSD458706 WBZ458682:WBZ458706 WLV458682:WLV458706 WVR458682:WVR458706 J524276:J524300 JF524218:JF524242 TB524218:TB524242 ACX524218:ACX524242 AMT524218:AMT524242 AWP524218:AWP524242 BGL524218:BGL524242 BQH524218:BQH524242 CAD524218:CAD524242 CJZ524218:CJZ524242 CTV524218:CTV524242 DDR524218:DDR524242 DNN524218:DNN524242 DXJ524218:DXJ524242 EHF524218:EHF524242 ERB524218:ERB524242 FAX524218:FAX524242 FKT524218:FKT524242 FUP524218:FUP524242 GEL524218:GEL524242 GOH524218:GOH524242 GYD524218:GYD524242 HHZ524218:HHZ524242 HRV524218:HRV524242 IBR524218:IBR524242 ILN524218:ILN524242 IVJ524218:IVJ524242 JFF524218:JFF524242 JPB524218:JPB524242 JYX524218:JYX524242 KIT524218:KIT524242 KSP524218:KSP524242 LCL524218:LCL524242 LMH524218:LMH524242 LWD524218:LWD524242 MFZ524218:MFZ524242 MPV524218:MPV524242 MZR524218:MZR524242 NJN524218:NJN524242 NTJ524218:NTJ524242 ODF524218:ODF524242 ONB524218:ONB524242 OWX524218:OWX524242 PGT524218:PGT524242 PQP524218:PQP524242 QAL524218:QAL524242 QKH524218:QKH524242 QUD524218:QUD524242 RDZ524218:RDZ524242 RNV524218:RNV524242 RXR524218:RXR524242 SHN524218:SHN524242 SRJ524218:SRJ524242 TBF524218:TBF524242 TLB524218:TLB524242 TUX524218:TUX524242 UET524218:UET524242 UOP524218:UOP524242 UYL524218:UYL524242 VIH524218:VIH524242 VSD524218:VSD524242 WBZ524218:WBZ524242 WLV524218:WLV524242 WVR524218:WVR524242 J589812:J589836 JF589754:JF589778 TB589754:TB589778 ACX589754:ACX589778 AMT589754:AMT589778 AWP589754:AWP589778 BGL589754:BGL589778 BQH589754:BQH589778 CAD589754:CAD589778 CJZ589754:CJZ589778 CTV589754:CTV589778 DDR589754:DDR589778 DNN589754:DNN589778 DXJ589754:DXJ589778 EHF589754:EHF589778 ERB589754:ERB589778 FAX589754:FAX589778 FKT589754:FKT589778 FUP589754:FUP589778 GEL589754:GEL589778 GOH589754:GOH589778 GYD589754:GYD589778 HHZ589754:HHZ589778 HRV589754:HRV589778 IBR589754:IBR589778 ILN589754:ILN589778 IVJ589754:IVJ589778 JFF589754:JFF589778 JPB589754:JPB589778 JYX589754:JYX589778 KIT589754:KIT589778 KSP589754:KSP589778 LCL589754:LCL589778 LMH589754:LMH589778 LWD589754:LWD589778 MFZ589754:MFZ589778 MPV589754:MPV589778 MZR589754:MZR589778 NJN589754:NJN589778 NTJ589754:NTJ589778 ODF589754:ODF589778 ONB589754:ONB589778 OWX589754:OWX589778 PGT589754:PGT589778 PQP589754:PQP589778 QAL589754:QAL589778 QKH589754:QKH589778 QUD589754:QUD589778 RDZ589754:RDZ589778 RNV589754:RNV589778 RXR589754:RXR589778 SHN589754:SHN589778 SRJ589754:SRJ589778 TBF589754:TBF589778 TLB589754:TLB589778 TUX589754:TUX589778 UET589754:UET589778 UOP589754:UOP589778 UYL589754:UYL589778 VIH589754:VIH589778 VSD589754:VSD589778 WBZ589754:WBZ589778 WLV589754:WLV589778 WVR589754:WVR589778 J655348:J655372 JF655290:JF655314 TB655290:TB655314 ACX655290:ACX655314 AMT655290:AMT655314 AWP655290:AWP655314 BGL655290:BGL655314 BQH655290:BQH655314 CAD655290:CAD655314 CJZ655290:CJZ655314 CTV655290:CTV655314 DDR655290:DDR655314 DNN655290:DNN655314 DXJ655290:DXJ655314 EHF655290:EHF655314 ERB655290:ERB655314 FAX655290:FAX655314 FKT655290:FKT655314 FUP655290:FUP655314 GEL655290:GEL655314 GOH655290:GOH655314 GYD655290:GYD655314 HHZ655290:HHZ655314 HRV655290:HRV655314 IBR655290:IBR655314 ILN655290:ILN655314 IVJ655290:IVJ655314 JFF655290:JFF655314 JPB655290:JPB655314 JYX655290:JYX655314 KIT655290:KIT655314 KSP655290:KSP655314 LCL655290:LCL655314 LMH655290:LMH655314 LWD655290:LWD655314 MFZ655290:MFZ655314 MPV655290:MPV655314 MZR655290:MZR655314 NJN655290:NJN655314 NTJ655290:NTJ655314 ODF655290:ODF655314 ONB655290:ONB655314 OWX655290:OWX655314 PGT655290:PGT655314 PQP655290:PQP655314 QAL655290:QAL655314 QKH655290:QKH655314 QUD655290:QUD655314 RDZ655290:RDZ655314 RNV655290:RNV655314 RXR655290:RXR655314 SHN655290:SHN655314 SRJ655290:SRJ655314 TBF655290:TBF655314 TLB655290:TLB655314 TUX655290:TUX655314 UET655290:UET655314 UOP655290:UOP655314 UYL655290:UYL655314 VIH655290:VIH655314 VSD655290:VSD655314 WBZ655290:WBZ655314 WLV655290:WLV655314 WVR655290:WVR655314 J720884:J720908 JF720826:JF720850 TB720826:TB720850 ACX720826:ACX720850 AMT720826:AMT720850 AWP720826:AWP720850 BGL720826:BGL720850 BQH720826:BQH720850 CAD720826:CAD720850 CJZ720826:CJZ720850 CTV720826:CTV720850 DDR720826:DDR720850 DNN720826:DNN720850 DXJ720826:DXJ720850 EHF720826:EHF720850 ERB720826:ERB720850 FAX720826:FAX720850 FKT720826:FKT720850 FUP720826:FUP720850 GEL720826:GEL720850 GOH720826:GOH720850 GYD720826:GYD720850 HHZ720826:HHZ720850 HRV720826:HRV720850 IBR720826:IBR720850 ILN720826:ILN720850 IVJ720826:IVJ720850 JFF720826:JFF720850 JPB720826:JPB720850 JYX720826:JYX720850 KIT720826:KIT720850 KSP720826:KSP720850 LCL720826:LCL720850 LMH720826:LMH720850 LWD720826:LWD720850 MFZ720826:MFZ720850 MPV720826:MPV720850 MZR720826:MZR720850 NJN720826:NJN720850 NTJ720826:NTJ720850 ODF720826:ODF720850 ONB720826:ONB720850 OWX720826:OWX720850 PGT720826:PGT720850 PQP720826:PQP720850 QAL720826:QAL720850 QKH720826:QKH720850 QUD720826:QUD720850 RDZ720826:RDZ720850 RNV720826:RNV720850 RXR720826:RXR720850 SHN720826:SHN720850 SRJ720826:SRJ720850 TBF720826:TBF720850 TLB720826:TLB720850 TUX720826:TUX720850 UET720826:UET720850 UOP720826:UOP720850 UYL720826:UYL720850 VIH720826:VIH720850 VSD720826:VSD720850 WBZ720826:WBZ720850 WLV720826:WLV720850 WVR720826:WVR720850 J786420:J786444 JF786362:JF786386 TB786362:TB786386 ACX786362:ACX786386 AMT786362:AMT786386 AWP786362:AWP786386 BGL786362:BGL786386 BQH786362:BQH786386 CAD786362:CAD786386 CJZ786362:CJZ786386 CTV786362:CTV786386 DDR786362:DDR786386 DNN786362:DNN786386 DXJ786362:DXJ786386 EHF786362:EHF786386 ERB786362:ERB786386 FAX786362:FAX786386 FKT786362:FKT786386 FUP786362:FUP786386 GEL786362:GEL786386 GOH786362:GOH786386 GYD786362:GYD786386 HHZ786362:HHZ786386 HRV786362:HRV786386 IBR786362:IBR786386 ILN786362:ILN786386 IVJ786362:IVJ786386 JFF786362:JFF786386 JPB786362:JPB786386 JYX786362:JYX786386 KIT786362:KIT786386 KSP786362:KSP786386 LCL786362:LCL786386 LMH786362:LMH786386 LWD786362:LWD786386 MFZ786362:MFZ786386 MPV786362:MPV786386 MZR786362:MZR786386 NJN786362:NJN786386 NTJ786362:NTJ786386 ODF786362:ODF786386 ONB786362:ONB786386 OWX786362:OWX786386 PGT786362:PGT786386 PQP786362:PQP786386 QAL786362:QAL786386 QKH786362:QKH786386 QUD786362:QUD786386 RDZ786362:RDZ786386 RNV786362:RNV786386 RXR786362:RXR786386 SHN786362:SHN786386 SRJ786362:SRJ786386 TBF786362:TBF786386 TLB786362:TLB786386 TUX786362:TUX786386 UET786362:UET786386 UOP786362:UOP786386 UYL786362:UYL786386 VIH786362:VIH786386 VSD786362:VSD786386 WBZ786362:WBZ786386 WLV786362:WLV786386 WVR786362:WVR786386 J851956:J851980 JF851898:JF851922 TB851898:TB851922 ACX851898:ACX851922 AMT851898:AMT851922 AWP851898:AWP851922 BGL851898:BGL851922 BQH851898:BQH851922 CAD851898:CAD851922 CJZ851898:CJZ851922 CTV851898:CTV851922 DDR851898:DDR851922 DNN851898:DNN851922 DXJ851898:DXJ851922 EHF851898:EHF851922 ERB851898:ERB851922 FAX851898:FAX851922 FKT851898:FKT851922 FUP851898:FUP851922 GEL851898:GEL851922 GOH851898:GOH851922 GYD851898:GYD851922 HHZ851898:HHZ851922 HRV851898:HRV851922 IBR851898:IBR851922 ILN851898:ILN851922 IVJ851898:IVJ851922 JFF851898:JFF851922 JPB851898:JPB851922 JYX851898:JYX851922 KIT851898:KIT851922 KSP851898:KSP851922 LCL851898:LCL851922 LMH851898:LMH851922 LWD851898:LWD851922 MFZ851898:MFZ851922 MPV851898:MPV851922 MZR851898:MZR851922 NJN851898:NJN851922 NTJ851898:NTJ851922 ODF851898:ODF851922 ONB851898:ONB851922 OWX851898:OWX851922 PGT851898:PGT851922 PQP851898:PQP851922 QAL851898:QAL851922 QKH851898:QKH851922 QUD851898:QUD851922 RDZ851898:RDZ851922 RNV851898:RNV851922 RXR851898:RXR851922 SHN851898:SHN851922 SRJ851898:SRJ851922 TBF851898:TBF851922 TLB851898:TLB851922 TUX851898:TUX851922 UET851898:UET851922 UOP851898:UOP851922 UYL851898:UYL851922 VIH851898:VIH851922 VSD851898:VSD851922 WBZ851898:WBZ851922 WLV851898:WLV851922 WVR851898:WVR851922 J917492:J917516 JF917434:JF917458 TB917434:TB917458 ACX917434:ACX917458 AMT917434:AMT917458 AWP917434:AWP917458 BGL917434:BGL917458 BQH917434:BQH917458 CAD917434:CAD917458 CJZ917434:CJZ917458 CTV917434:CTV917458 DDR917434:DDR917458 DNN917434:DNN917458 DXJ917434:DXJ917458 EHF917434:EHF917458 ERB917434:ERB917458 FAX917434:FAX917458 FKT917434:FKT917458 FUP917434:FUP917458 GEL917434:GEL917458 GOH917434:GOH917458 GYD917434:GYD917458 HHZ917434:HHZ917458 HRV917434:HRV917458 IBR917434:IBR917458 ILN917434:ILN917458 IVJ917434:IVJ917458 JFF917434:JFF917458 JPB917434:JPB917458 JYX917434:JYX917458 KIT917434:KIT917458 KSP917434:KSP917458 LCL917434:LCL917458 LMH917434:LMH917458 LWD917434:LWD917458 MFZ917434:MFZ917458 MPV917434:MPV917458 MZR917434:MZR917458 NJN917434:NJN917458 NTJ917434:NTJ917458 ODF917434:ODF917458 ONB917434:ONB917458 OWX917434:OWX917458 PGT917434:PGT917458 PQP917434:PQP917458 QAL917434:QAL917458 QKH917434:QKH917458 QUD917434:QUD917458 RDZ917434:RDZ917458 RNV917434:RNV917458 RXR917434:RXR917458 SHN917434:SHN917458 SRJ917434:SRJ917458 TBF917434:TBF917458 TLB917434:TLB917458 TUX917434:TUX917458 UET917434:UET917458 UOP917434:UOP917458 UYL917434:UYL917458 VIH917434:VIH917458 VSD917434:VSD917458 WBZ917434:WBZ917458 WLV917434:WLV917458 WVR917434:WVR917458 J983028:J983052 JF982970:JF982994 TB982970:TB982994 ACX982970:ACX982994 AMT982970:AMT982994 AWP982970:AWP982994 BGL982970:BGL982994 BQH982970:BQH982994 CAD982970:CAD982994 CJZ982970:CJZ982994 CTV982970:CTV982994 DDR982970:DDR982994 DNN982970:DNN982994 DXJ982970:DXJ982994 EHF982970:EHF982994 ERB982970:ERB982994 FAX982970:FAX982994 FKT982970:FKT982994 FUP982970:FUP982994 GEL982970:GEL982994 GOH982970:GOH982994 GYD982970:GYD982994 HHZ982970:HHZ982994 HRV982970:HRV982994 IBR982970:IBR982994 ILN982970:ILN982994 IVJ982970:IVJ982994 JFF982970:JFF982994 JPB982970:JPB982994 JYX982970:JYX982994 KIT982970:KIT982994 KSP982970:KSP982994 LCL982970:LCL982994 LMH982970:LMH982994 LWD982970:LWD982994 MFZ982970:MFZ982994 MPV982970:MPV982994 MZR982970:MZR982994 NJN982970:NJN982994 NTJ982970:NTJ982994 ODF982970:ODF982994 ONB982970:ONB982994 OWX982970:OWX982994 PGT982970:PGT982994 PQP982970:PQP982994 QAL982970:QAL982994 QKH982970:QKH982994 QUD982970:QUD982994 RDZ982970:RDZ982994 RNV982970:RNV982994 RXR982970:RXR982994 SHN982970:SHN982994 SRJ982970:SRJ982994 TBF982970:TBF982994 TLB982970:TLB982994 TUX982970:TUX982994 UET982970:UET982994 UOP982970:UOP982994 UYL982970:UYL982994 VIH982970:VIH982994 VSD982970:VSD982994 WBZ982970:WBZ982994 WLV982970:WLV982994 JE13:JE513 WVQ13:WVQ513 WLU13:WLU513 WBY13:WBY513 VSC13:VSC513 VIG13:VIG513 UYK13:UYK513 UOO13:UOO513 UES13:UES513 TUW13:TUW513 TLA13:TLA513 TBE13:TBE513 SRI13:SRI513 SHM13:SHM513 RXQ13:RXQ513 RNU13:RNU513 RDY13:RDY513 QUC13:QUC513 QKG13:QKG513 QAK13:QAK513 PQO13:PQO513 PGS13:PGS513 OWW13:OWW513 ONA13:ONA513 ODE13:ODE513 NTI13:NTI513 NJM13:NJM513 MZQ13:MZQ513 MPU13:MPU513 MFY13:MFY513 LWC13:LWC513 LMG13:LMG513 LCK13:LCK513 KSO13:KSO513 KIS13:KIS513 JYW13:JYW513 JPA13:JPA513 JFE13:JFE513 IVI13:IVI513 ILM13:ILM513 IBQ13:IBQ513 HRU13:HRU513 HHY13:HHY513 GYC13:GYC513 GOG13:GOG513 GEK13:GEK513 FUO13:FUO513 FKS13:FKS513 FAW13:FAW513 ERA13:ERA513 EHE13:EHE513 DXI13:DXI513 DNM13:DNM513 DDQ13:DDQ513 CTU13:CTU513 CJY13:CJY513 CAC13:CAC513 BQG13:BQG513 BGK13:BGK513 AWO13:AWO513 AMS13:AMS513 ACW13:ACW513 TA13:TA513 K13:K513" xr:uid="{00000000-0002-0000-0E00-00000C000000}"/>
    <dataValidation allowBlank="1" showInputMessage="1" showErrorMessage="1" prompt="Enter the total number of units/days billed for the service code in column &quot;C&quot; for the month in review" sqref="WVP982970:WVP982994 H65553:H65577 JD65466:JD65490 SZ65466:SZ65490 ACV65466:ACV65490 AMR65466:AMR65490 AWN65466:AWN65490 BGJ65466:BGJ65490 BQF65466:BQF65490 CAB65466:CAB65490 CJX65466:CJX65490 CTT65466:CTT65490 DDP65466:DDP65490 DNL65466:DNL65490 DXH65466:DXH65490 EHD65466:EHD65490 EQZ65466:EQZ65490 FAV65466:FAV65490 FKR65466:FKR65490 FUN65466:FUN65490 GEJ65466:GEJ65490 GOF65466:GOF65490 GYB65466:GYB65490 HHX65466:HHX65490 HRT65466:HRT65490 IBP65466:IBP65490 ILL65466:ILL65490 IVH65466:IVH65490 JFD65466:JFD65490 JOZ65466:JOZ65490 JYV65466:JYV65490 KIR65466:KIR65490 KSN65466:KSN65490 LCJ65466:LCJ65490 LMF65466:LMF65490 LWB65466:LWB65490 MFX65466:MFX65490 MPT65466:MPT65490 MZP65466:MZP65490 NJL65466:NJL65490 NTH65466:NTH65490 ODD65466:ODD65490 OMZ65466:OMZ65490 OWV65466:OWV65490 PGR65466:PGR65490 PQN65466:PQN65490 QAJ65466:QAJ65490 QKF65466:QKF65490 QUB65466:QUB65490 RDX65466:RDX65490 RNT65466:RNT65490 RXP65466:RXP65490 SHL65466:SHL65490 SRH65466:SRH65490 TBD65466:TBD65490 TKZ65466:TKZ65490 TUV65466:TUV65490 UER65466:UER65490 UON65466:UON65490 UYJ65466:UYJ65490 VIF65466:VIF65490 VSB65466:VSB65490 WBX65466:WBX65490 WLT65466:WLT65490 WVP65466:WVP65490 H131089:H131113 JD131002:JD131026 SZ131002:SZ131026 ACV131002:ACV131026 AMR131002:AMR131026 AWN131002:AWN131026 BGJ131002:BGJ131026 BQF131002:BQF131026 CAB131002:CAB131026 CJX131002:CJX131026 CTT131002:CTT131026 DDP131002:DDP131026 DNL131002:DNL131026 DXH131002:DXH131026 EHD131002:EHD131026 EQZ131002:EQZ131026 FAV131002:FAV131026 FKR131002:FKR131026 FUN131002:FUN131026 GEJ131002:GEJ131026 GOF131002:GOF131026 GYB131002:GYB131026 HHX131002:HHX131026 HRT131002:HRT131026 IBP131002:IBP131026 ILL131002:ILL131026 IVH131002:IVH131026 JFD131002:JFD131026 JOZ131002:JOZ131026 JYV131002:JYV131026 KIR131002:KIR131026 KSN131002:KSN131026 LCJ131002:LCJ131026 LMF131002:LMF131026 LWB131002:LWB131026 MFX131002:MFX131026 MPT131002:MPT131026 MZP131002:MZP131026 NJL131002:NJL131026 NTH131002:NTH131026 ODD131002:ODD131026 OMZ131002:OMZ131026 OWV131002:OWV131026 PGR131002:PGR131026 PQN131002:PQN131026 QAJ131002:QAJ131026 QKF131002:QKF131026 QUB131002:QUB131026 RDX131002:RDX131026 RNT131002:RNT131026 RXP131002:RXP131026 SHL131002:SHL131026 SRH131002:SRH131026 TBD131002:TBD131026 TKZ131002:TKZ131026 TUV131002:TUV131026 UER131002:UER131026 UON131002:UON131026 UYJ131002:UYJ131026 VIF131002:VIF131026 VSB131002:VSB131026 WBX131002:WBX131026 WLT131002:WLT131026 WVP131002:WVP131026 H196625:H196649 JD196538:JD196562 SZ196538:SZ196562 ACV196538:ACV196562 AMR196538:AMR196562 AWN196538:AWN196562 BGJ196538:BGJ196562 BQF196538:BQF196562 CAB196538:CAB196562 CJX196538:CJX196562 CTT196538:CTT196562 DDP196538:DDP196562 DNL196538:DNL196562 DXH196538:DXH196562 EHD196538:EHD196562 EQZ196538:EQZ196562 FAV196538:FAV196562 FKR196538:FKR196562 FUN196538:FUN196562 GEJ196538:GEJ196562 GOF196538:GOF196562 GYB196538:GYB196562 HHX196538:HHX196562 HRT196538:HRT196562 IBP196538:IBP196562 ILL196538:ILL196562 IVH196538:IVH196562 JFD196538:JFD196562 JOZ196538:JOZ196562 JYV196538:JYV196562 KIR196538:KIR196562 KSN196538:KSN196562 LCJ196538:LCJ196562 LMF196538:LMF196562 LWB196538:LWB196562 MFX196538:MFX196562 MPT196538:MPT196562 MZP196538:MZP196562 NJL196538:NJL196562 NTH196538:NTH196562 ODD196538:ODD196562 OMZ196538:OMZ196562 OWV196538:OWV196562 PGR196538:PGR196562 PQN196538:PQN196562 QAJ196538:QAJ196562 QKF196538:QKF196562 QUB196538:QUB196562 RDX196538:RDX196562 RNT196538:RNT196562 RXP196538:RXP196562 SHL196538:SHL196562 SRH196538:SRH196562 TBD196538:TBD196562 TKZ196538:TKZ196562 TUV196538:TUV196562 UER196538:UER196562 UON196538:UON196562 UYJ196538:UYJ196562 VIF196538:VIF196562 VSB196538:VSB196562 WBX196538:WBX196562 WLT196538:WLT196562 WVP196538:WVP196562 H262161:H262185 JD262074:JD262098 SZ262074:SZ262098 ACV262074:ACV262098 AMR262074:AMR262098 AWN262074:AWN262098 BGJ262074:BGJ262098 BQF262074:BQF262098 CAB262074:CAB262098 CJX262074:CJX262098 CTT262074:CTT262098 DDP262074:DDP262098 DNL262074:DNL262098 DXH262074:DXH262098 EHD262074:EHD262098 EQZ262074:EQZ262098 FAV262074:FAV262098 FKR262074:FKR262098 FUN262074:FUN262098 GEJ262074:GEJ262098 GOF262074:GOF262098 GYB262074:GYB262098 HHX262074:HHX262098 HRT262074:HRT262098 IBP262074:IBP262098 ILL262074:ILL262098 IVH262074:IVH262098 JFD262074:JFD262098 JOZ262074:JOZ262098 JYV262074:JYV262098 KIR262074:KIR262098 KSN262074:KSN262098 LCJ262074:LCJ262098 LMF262074:LMF262098 LWB262074:LWB262098 MFX262074:MFX262098 MPT262074:MPT262098 MZP262074:MZP262098 NJL262074:NJL262098 NTH262074:NTH262098 ODD262074:ODD262098 OMZ262074:OMZ262098 OWV262074:OWV262098 PGR262074:PGR262098 PQN262074:PQN262098 QAJ262074:QAJ262098 QKF262074:QKF262098 QUB262074:QUB262098 RDX262074:RDX262098 RNT262074:RNT262098 RXP262074:RXP262098 SHL262074:SHL262098 SRH262074:SRH262098 TBD262074:TBD262098 TKZ262074:TKZ262098 TUV262074:TUV262098 UER262074:UER262098 UON262074:UON262098 UYJ262074:UYJ262098 VIF262074:VIF262098 VSB262074:VSB262098 WBX262074:WBX262098 WLT262074:WLT262098 WVP262074:WVP262098 H327697:H327721 JD327610:JD327634 SZ327610:SZ327634 ACV327610:ACV327634 AMR327610:AMR327634 AWN327610:AWN327634 BGJ327610:BGJ327634 BQF327610:BQF327634 CAB327610:CAB327634 CJX327610:CJX327634 CTT327610:CTT327634 DDP327610:DDP327634 DNL327610:DNL327634 DXH327610:DXH327634 EHD327610:EHD327634 EQZ327610:EQZ327634 FAV327610:FAV327634 FKR327610:FKR327634 FUN327610:FUN327634 GEJ327610:GEJ327634 GOF327610:GOF327634 GYB327610:GYB327634 HHX327610:HHX327634 HRT327610:HRT327634 IBP327610:IBP327634 ILL327610:ILL327634 IVH327610:IVH327634 JFD327610:JFD327634 JOZ327610:JOZ327634 JYV327610:JYV327634 KIR327610:KIR327634 KSN327610:KSN327634 LCJ327610:LCJ327634 LMF327610:LMF327634 LWB327610:LWB327634 MFX327610:MFX327634 MPT327610:MPT327634 MZP327610:MZP327634 NJL327610:NJL327634 NTH327610:NTH327634 ODD327610:ODD327634 OMZ327610:OMZ327634 OWV327610:OWV327634 PGR327610:PGR327634 PQN327610:PQN327634 QAJ327610:QAJ327634 QKF327610:QKF327634 QUB327610:QUB327634 RDX327610:RDX327634 RNT327610:RNT327634 RXP327610:RXP327634 SHL327610:SHL327634 SRH327610:SRH327634 TBD327610:TBD327634 TKZ327610:TKZ327634 TUV327610:TUV327634 UER327610:UER327634 UON327610:UON327634 UYJ327610:UYJ327634 VIF327610:VIF327634 VSB327610:VSB327634 WBX327610:WBX327634 WLT327610:WLT327634 WVP327610:WVP327634 H393233:H393257 JD393146:JD393170 SZ393146:SZ393170 ACV393146:ACV393170 AMR393146:AMR393170 AWN393146:AWN393170 BGJ393146:BGJ393170 BQF393146:BQF393170 CAB393146:CAB393170 CJX393146:CJX393170 CTT393146:CTT393170 DDP393146:DDP393170 DNL393146:DNL393170 DXH393146:DXH393170 EHD393146:EHD393170 EQZ393146:EQZ393170 FAV393146:FAV393170 FKR393146:FKR393170 FUN393146:FUN393170 GEJ393146:GEJ393170 GOF393146:GOF393170 GYB393146:GYB393170 HHX393146:HHX393170 HRT393146:HRT393170 IBP393146:IBP393170 ILL393146:ILL393170 IVH393146:IVH393170 JFD393146:JFD393170 JOZ393146:JOZ393170 JYV393146:JYV393170 KIR393146:KIR393170 KSN393146:KSN393170 LCJ393146:LCJ393170 LMF393146:LMF393170 LWB393146:LWB393170 MFX393146:MFX393170 MPT393146:MPT393170 MZP393146:MZP393170 NJL393146:NJL393170 NTH393146:NTH393170 ODD393146:ODD393170 OMZ393146:OMZ393170 OWV393146:OWV393170 PGR393146:PGR393170 PQN393146:PQN393170 QAJ393146:QAJ393170 QKF393146:QKF393170 QUB393146:QUB393170 RDX393146:RDX393170 RNT393146:RNT393170 RXP393146:RXP393170 SHL393146:SHL393170 SRH393146:SRH393170 TBD393146:TBD393170 TKZ393146:TKZ393170 TUV393146:TUV393170 UER393146:UER393170 UON393146:UON393170 UYJ393146:UYJ393170 VIF393146:VIF393170 VSB393146:VSB393170 WBX393146:WBX393170 WLT393146:WLT393170 WVP393146:WVP393170 H458769:H458793 JD458682:JD458706 SZ458682:SZ458706 ACV458682:ACV458706 AMR458682:AMR458706 AWN458682:AWN458706 BGJ458682:BGJ458706 BQF458682:BQF458706 CAB458682:CAB458706 CJX458682:CJX458706 CTT458682:CTT458706 DDP458682:DDP458706 DNL458682:DNL458706 DXH458682:DXH458706 EHD458682:EHD458706 EQZ458682:EQZ458706 FAV458682:FAV458706 FKR458682:FKR458706 FUN458682:FUN458706 GEJ458682:GEJ458706 GOF458682:GOF458706 GYB458682:GYB458706 HHX458682:HHX458706 HRT458682:HRT458706 IBP458682:IBP458706 ILL458682:ILL458706 IVH458682:IVH458706 JFD458682:JFD458706 JOZ458682:JOZ458706 JYV458682:JYV458706 KIR458682:KIR458706 KSN458682:KSN458706 LCJ458682:LCJ458706 LMF458682:LMF458706 LWB458682:LWB458706 MFX458682:MFX458706 MPT458682:MPT458706 MZP458682:MZP458706 NJL458682:NJL458706 NTH458682:NTH458706 ODD458682:ODD458706 OMZ458682:OMZ458706 OWV458682:OWV458706 PGR458682:PGR458706 PQN458682:PQN458706 QAJ458682:QAJ458706 QKF458682:QKF458706 QUB458682:QUB458706 RDX458682:RDX458706 RNT458682:RNT458706 RXP458682:RXP458706 SHL458682:SHL458706 SRH458682:SRH458706 TBD458682:TBD458706 TKZ458682:TKZ458706 TUV458682:TUV458706 UER458682:UER458706 UON458682:UON458706 UYJ458682:UYJ458706 VIF458682:VIF458706 VSB458682:VSB458706 WBX458682:WBX458706 WLT458682:WLT458706 WVP458682:WVP458706 H524305:H524329 JD524218:JD524242 SZ524218:SZ524242 ACV524218:ACV524242 AMR524218:AMR524242 AWN524218:AWN524242 BGJ524218:BGJ524242 BQF524218:BQF524242 CAB524218:CAB524242 CJX524218:CJX524242 CTT524218:CTT524242 DDP524218:DDP524242 DNL524218:DNL524242 DXH524218:DXH524242 EHD524218:EHD524242 EQZ524218:EQZ524242 FAV524218:FAV524242 FKR524218:FKR524242 FUN524218:FUN524242 GEJ524218:GEJ524242 GOF524218:GOF524242 GYB524218:GYB524242 HHX524218:HHX524242 HRT524218:HRT524242 IBP524218:IBP524242 ILL524218:ILL524242 IVH524218:IVH524242 JFD524218:JFD524242 JOZ524218:JOZ524242 JYV524218:JYV524242 KIR524218:KIR524242 KSN524218:KSN524242 LCJ524218:LCJ524242 LMF524218:LMF524242 LWB524218:LWB524242 MFX524218:MFX524242 MPT524218:MPT524242 MZP524218:MZP524242 NJL524218:NJL524242 NTH524218:NTH524242 ODD524218:ODD524242 OMZ524218:OMZ524242 OWV524218:OWV524242 PGR524218:PGR524242 PQN524218:PQN524242 QAJ524218:QAJ524242 QKF524218:QKF524242 QUB524218:QUB524242 RDX524218:RDX524242 RNT524218:RNT524242 RXP524218:RXP524242 SHL524218:SHL524242 SRH524218:SRH524242 TBD524218:TBD524242 TKZ524218:TKZ524242 TUV524218:TUV524242 UER524218:UER524242 UON524218:UON524242 UYJ524218:UYJ524242 VIF524218:VIF524242 VSB524218:VSB524242 WBX524218:WBX524242 WLT524218:WLT524242 WVP524218:WVP524242 H589841:H589865 JD589754:JD589778 SZ589754:SZ589778 ACV589754:ACV589778 AMR589754:AMR589778 AWN589754:AWN589778 BGJ589754:BGJ589778 BQF589754:BQF589778 CAB589754:CAB589778 CJX589754:CJX589778 CTT589754:CTT589778 DDP589754:DDP589778 DNL589754:DNL589778 DXH589754:DXH589778 EHD589754:EHD589778 EQZ589754:EQZ589778 FAV589754:FAV589778 FKR589754:FKR589778 FUN589754:FUN589778 GEJ589754:GEJ589778 GOF589754:GOF589778 GYB589754:GYB589778 HHX589754:HHX589778 HRT589754:HRT589778 IBP589754:IBP589778 ILL589754:ILL589778 IVH589754:IVH589778 JFD589754:JFD589778 JOZ589754:JOZ589778 JYV589754:JYV589778 KIR589754:KIR589778 KSN589754:KSN589778 LCJ589754:LCJ589778 LMF589754:LMF589778 LWB589754:LWB589778 MFX589754:MFX589778 MPT589754:MPT589778 MZP589754:MZP589778 NJL589754:NJL589778 NTH589754:NTH589778 ODD589754:ODD589778 OMZ589754:OMZ589778 OWV589754:OWV589778 PGR589754:PGR589778 PQN589754:PQN589778 QAJ589754:QAJ589778 QKF589754:QKF589778 QUB589754:QUB589778 RDX589754:RDX589778 RNT589754:RNT589778 RXP589754:RXP589778 SHL589754:SHL589778 SRH589754:SRH589778 TBD589754:TBD589778 TKZ589754:TKZ589778 TUV589754:TUV589778 UER589754:UER589778 UON589754:UON589778 UYJ589754:UYJ589778 VIF589754:VIF589778 VSB589754:VSB589778 WBX589754:WBX589778 WLT589754:WLT589778 WVP589754:WVP589778 H655377:H655401 JD655290:JD655314 SZ655290:SZ655314 ACV655290:ACV655314 AMR655290:AMR655314 AWN655290:AWN655314 BGJ655290:BGJ655314 BQF655290:BQF655314 CAB655290:CAB655314 CJX655290:CJX655314 CTT655290:CTT655314 DDP655290:DDP655314 DNL655290:DNL655314 DXH655290:DXH655314 EHD655290:EHD655314 EQZ655290:EQZ655314 FAV655290:FAV655314 FKR655290:FKR655314 FUN655290:FUN655314 GEJ655290:GEJ655314 GOF655290:GOF655314 GYB655290:GYB655314 HHX655290:HHX655314 HRT655290:HRT655314 IBP655290:IBP655314 ILL655290:ILL655314 IVH655290:IVH655314 JFD655290:JFD655314 JOZ655290:JOZ655314 JYV655290:JYV655314 KIR655290:KIR655314 KSN655290:KSN655314 LCJ655290:LCJ655314 LMF655290:LMF655314 LWB655290:LWB655314 MFX655290:MFX655314 MPT655290:MPT655314 MZP655290:MZP655314 NJL655290:NJL655314 NTH655290:NTH655314 ODD655290:ODD655314 OMZ655290:OMZ655314 OWV655290:OWV655314 PGR655290:PGR655314 PQN655290:PQN655314 QAJ655290:QAJ655314 QKF655290:QKF655314 QUB655290:QUB655314 RDX655290:RDX655314 RNT655290:RNT655314 RXP655290:RXP655314 SHL655290:SHL655314 SRH655290:SRH655314 TBD655290:TBD655314 TKZ655290:TKZ655314 TUV655290:TUV655314 UER655290:UER655314 UON655290:UON655314 UYJ655290:UYJ655314 VIF655290:VIF655314 VSB655290:VSB655314 WBX655290:WBX655314 WLT655290:WLT655314 WVP655290:WVP655314 H720913:H720937 JD720826:JD720850 SZ720826:SZ720850 ACV720826:ACV720850 AMR720826:AMR720850 AWN720826:AWN720850 BGJ720826:BGJ720850 BQF720826:BQF720850 CAB720826:CAB720850 CJX720826:CJX720850 CTT720826:CTT720850 DDP720826:DDP720850 DNL720826:DNL720850 DXH720826:DXH720850 EHD720826:EHD720850 EQZ720826:EQZ720850 FAV720826:FAV720850 FKR720826:FKR720850 FUN720826:FUN720850 GEJ720826:GEJ720850 GOF720826:GOF720850 GYB720826:GYB720850 HHX720826:HHX720850 HRT720826:HRT720850 IBP720826:IBP720850 ILL720826:ILL720850 IVH720826:IVH720850 JFD720826:JFD720850 JOZ720826:JOZ720850 JYV720826:JYV720850 KIR720826:KIR720850 KSN720826:KSN720850 LCJ720826:LCJ720850 LMF720826:LMF720850 LWB720826:LWB720850 MFX720826:MFX720850 MPT720826:MPT720850 MZP720826:MZP720850 NJL720826:NJL720850 NTH720826:NTH720850 ODD720826:ODD720850 OMZ720826:OMZ720850 OWV720826:OWV720850 PGR720826:PGR720850 PQN720826:PQN720850 QAJ720826:QAJ720850 QKF720826:QKF720850 QUB720826:QUB720850 RDX720826:RDX720850 RNT720826:RNT720850 RXP720826:RXP720850 SHL720826:SHL720850 SRH720826:SRH720850 TBD720826:TBD720850 TKZ720826:TKZ720850 TUV720826:TUV720850 UER720826:UER720850 UON720826:UON720850 UYJ720826:UYJ720850 VIF720826:VIF720850 VSB720826:VSB720850 WBX720826:WBX720850 WLT720826:WLT720850 WVP720826:WVP720850 H786449:H786473 JD786362:JD786386 SZ786362:SZ786386 ACV786362:ACV786386 AMR786362:AMR786386 AWN786362:AWN786386 BGJ786362:BGJ786386 BQF786362:BQF786386 CAB786362:CAB786386 CJX786362:CJX786386 CTT786362:CTT786386 DDP786362:DDP786386 DNL786362:DNL786386 DXH786362:DXH786386 EHD786362:EHD786386 EQZ786362:EQZ786386 FAV786362:FAV786386 FKR786362:FKR786386 FUN786362:FUN786386 GEJ786362:GEJ786386 GOF786362:GOF786386 GYB786362:GYB786386 HHX786362:HHX786386 HRT786362:HRT786386 IBP786362:IBP786386 ILL786362:ILL786386 IVH786362:IVH786386 JFD786362:JFD786386 JOZ786362:JOZ786386 JYV786362:JYV786386 KIR786362:KIR786386 KSN786362:KSN786386 LCJ786362:LCJ786386 LMF786362:LMF786386 LWB786362:LWB786386 MFX786362:MFX786386 MPT786362:MPT786386 MZP786362:MZP786386 NJL786362:NJL786386 NTH786362:NTH786386 ODD786362:ODD786386 OMZ786362:OMZ786386 OWV786362:OWV786386 PGR786362:PGR786386 PQN786362:PQN786386 QAJ786362:QAJ786386 QKF786362:QKF786386 QUB786362:QUB786386 RDX786362:RDX786386 RNT786362:RNT786386 RXP786362:RXP786386 SHL786362:SHL786386 SRH786362:SRH786386 TBD786362:TBD786386 TKZ786362:TKZ786386 TUV786362:TUV786386 UER786362:UER786386 UON786362:UON786386 UYJ786362:UYJ786386 VIF786362:VIF786386 VSB786362:VSB786386 WBX786362:WBX786386 WLT786362:WLT786386 WVP786362:WVP786386 H851985:H852009 JD851898:JD851922 SZ851898:SZ851922 ACV851898:ACV851922 AMR851898:AMR851922 AWN851898:AWN851922 BGJ851898:BGJ851922 BQF851898:BQF851922 CAB851898:CAB851922 CJX851898:CJX851922 CTT851898:CTT851922 DDP851898:DDP851922 DNL851898:DNL851922 DXH851898:DXH851922 EHD851898:EHD851922 EQZ851898:EQZ851922 FAV851898:FAV851922 FKR851898:FKR851922 FUN851898:FUN851922 GEJ851898:GEJ851922 GOF851898:GOF851922 GYB851898:GYB851922 HHX851898:HHX851922 HRT851898:HRT851922 IBP851898:IBP851922 ILL851898:ILL851922 IVH851898:IVH851922 JFD851898:JFD851922 JOZ851898:JOZ851922 JYV851898:JYV851922 KIR851898:KIR851922 KSN851898:KSN851922 LCJ851898:LCJ851922 LMF851898:LMF851922 LWB851898:LWB851922 MFX851898:MFX851922 MPT851898:MPT851922 MZP851898:MZP851922 NJL851898:NJL851922 NTH851898:NTH851922 ODD851898:ODD851922 OMZ851898:OMZ851922 OWV851898:OWV851922 PGR851898:PGR851922 PQN851898:PQN851922 QAJ851898:QAJ851922 QKF851898:QKF851922 QUB851898:QUB851922 RDX851898:RDX851922 RNT851898:RNT851922 RXP851898:RXP851922 SHL851898:SHL851922 SRH851898:SRH851922 TBD851898:TBD851922 TKZ851898:TKZ851922 TUV851898:TUV851922 UER851898:UER851922 UON851898:UON851922 UYJ851898:UYJ851922 VIF851898:VIF851922 VSB851898:VSB851922 WBX851898:WBX851922 WLT851898:WLT851922 WVP851898:WVP851922 H917521:H917545 JD917434:JD917458 SZ917434:SZ917458 ACV917434:ACV917458 AMR917434:AMR917458 AWN917434:AWN917458 BGJ917434:BGJ917458 BQF917434:BQF917458 CAB917434:CAB917458 CJX917434:CJX917458 CTT917434:CTT917458 DDP917434:DDP917458 DNL917434:DNL917458 DXH917434:DXH917458 EHD917434:EHD917458 EQZ917434:EQZ917458 FAV917434:FAV917458 FKR917434:FKR917458 FUN917434:FUN917458 GEJ917434:GEJ917458 GOF917434:GOF917458 GYB917434:GYB917458 HHX917434:HHX917458 HRT917434:HRT917458 IBP917434:IBP917458 ILL917434:ILL917458 IVH917434:IVH917458 JFD917434:JFD917458 JOZ917434:JOZ917458 JYV917434:JYV917458 KIR917434:KIR917458 KSN917434:KSN917458 LCJ917434:LCJ917458 LMF917434:LMF917458 LWB917434:LWB917458 MFX917434:MFX917458 MPT917434:MPT917458 MZP917434:MZP917458 NJL917434:NJL917458 NTH917434:NTH917458 ODD917434:ODD917458 OMZ917434:OMZ917458 OWV917434:OWV917458 PGR917434:PGR917458 PQN917434:PQN917458 QAJ917434:QAJ917458 QKF917434:QKF917458 QUB917434:QUB917458 RDX917434:RDX917458 RNT917434:RNT917458 RXP917434:RXP917458 SHL917434:SHL917458 SRH917434:SRH917458 TBD917434:TBD917458 TKZ917434:TKZ917458 TUV917434:TUV917458 UER917434:UER917458 UON917434:UON917458 UYJ917434:UYJ917458 VIF917434:VIF917458 VSB917434:VSB917458 WBX917434:WBX917458 WLT917434:WLT917458 WVP917434:WVP917458 H983057:H983081 JD982970:JD982994 SZ982970:SZ982994 ACV982970:ACV982994 AMR982970:AMR982994 AWN982970:AWN982994 BGJ982970:BGJ982994 BQF982970:BQF982994 CAB982970:CAB982994 CJX982970:CJX982994 CTT982970:CTT982994 DDP982970:DDP982994 DNL982970:DNL982994 DXH982970:DXH982994 EHD982970:EHD982994 EQZ982970:EQZ982994 FAV982970:FAV982994 FKR982970:FKR982994 FUN982970:FUN982994 GEJ982970:GEJ982994 GOF982970:GOF982994 GYB982970:GYB982994 HHX982970:HHX982994 HRT982970:HRT982994 IBP982970:IBP982994 ILL982970:ILL982994 IVH982970:IVH982994 JFD982970:JFD982994 JOZ982970:JOZ982994 JYV982970:JYV982994 KIR982970:KIR982994 KSN982970:KSN982994 LCJ982970:LCJ982994 LMF982970:LMF982994 LWB982970:LWB982994 MFX982970:MFX982994 MPT982970:MPT982994 MZP982970:MZP982994 NJL982970:NJL982994 NTH982970:NTH982994 ODD982970:ODD982994 OMZ982970:OMZ982994 OWV982970:OWV982994 PGR982970:PGR982994 PQN982970:PQN982994 QAJ982970:QAJ982994 QKF982970:QKF982994 QUB982970:QUB982994 RDX982970:RDX982994 RNT982970:RNT982994 RXP982970:RXP982994 SHL982970:SHL982994 SRH982970:SRH982994 TBD982970:TBD982994 TKZ982970:TKZ982994 TUV982970:TUV982994 UER982970:UER982994 UON982970:UON982994 UYJ982970:UYJ982994 VIF982970:VIF982994 VSB982970:VSB982994 WBX982970:WBX982994 WLT982970:WLT982994 JC13:JC513 WVO13:WVO513 WLS13:WLS513 WBW13:WBW513 VSA13:VSA513 VIE13:VIE513 UYI13:UYI513 UOM13:UOM513 UEQ13:UEQ513 TUU13:TUU513 TKY13:TKY513 TBC13:TBC513 SRG13:SRG513 SHK13:SHK513 RXO13:RXO513 RNS13:RNS513 RDW13:RDW513 QUA13:QUA513 QKE13:QKE513 QAI13:QAI513 PQM13:PQM513 PGQ13:PGQ513 OWU13:OWU513 OMY13:OMY513 ODC13:ODC513 NTG13:NTG513 NJK13:NJK513 MZO13:MZO513 MPS13:MPS513 MFW13:MFW513 LWA13:LWA513 LME13:LME513 LCI13:LCI513 KSM13:KSM513 KIQ13:KIQ513 JYU13:JYU513 JOY13:JOY513 JFC13:JFC513 IVG13:IVG513 ILK13:ILK513 IBO13:IBO513 HRS13:HRS513 HHW13:HHW513 GYA13:GYA513 GOE13:GOE513 GEI13:GEI513 FUM13:FUM513 FKQ13:FKQ513 FAU13:FAU513 EQY13:EQY513 EHC13:EHC513 DXG13:DXG513 DNK13:DNK513 DDO13:DDO513 CTS13:CTS513 CJW13:CJW513 CAA13:CAA513 BQE13:BQE513 BGI13:BGI513 AWM13:AWM513 AMQ13:AMQ513 ACU13:ACU513 SY13:SY513 I13:I513" xr:uid="{00000000-0002-0000-0E00-00000D000000}"/>
    <dataValidation allowBlank="1" showInputMessage="1" showErrorMessage="1" prompt="Enter the number of days in the month of review" sqref="WVO982970:WVO982994 G65553:G65577 JC65466:JC65490 SY65466:SY65490 ACU65466:ACU65490 AMQ65466:AMQ65490 AWM65466:AWM65490 BGI65466:BGI65490 BQE65466:BQE65490 CAA65466:CAA65490 CJW65466:CJW65490 CTS65466:CTS65490 DDO65466:DDO65490 DNK65466:DNK65490 DXG65466:DXG65490 EHC65466:EHC65490 EQY65466:EQY65490 FAU65466:FAU65490 FKQ65466:FKQ65490 FUM65466:FUM65490 GEI65466:GEI65490 GOE65466:GOE65490 GYA65466:GYA65490 HHW65466:HHW65490 HRS65466:HRS65490 IBO65466:IBO65490 ILK65466:ILK65490 IVG65466:IVG65490 JFC65466:JFC65490 JOY65466:JOY65490 JYU65466:JYU65490 KIQ65466:KIQ65490 KSM65466:KSM65490 LCI65466:LCI65490 LME65466:LME65490 LWA65466:LWA65490 MFW65466:MFW65490 MPS65466:MPS65490 MZO65466:MZO65490 NJK65466:NJK65490 NTG65466:NTG65490 ODC65466:ODC65490 OMY65466:OMY65490 OWU65466:OWU65490 PGQ65466:PGQ65490 PQM65466:PQM65490 QAI65466:QAI65490 QKE65466:QKE65490 QUA65466:QUA65490 RDW65466:RDW65490 RNS65466:RNS65490 RXO65466:RXO65490 SHK65466:SHK65490 SRG65466:SRG65490 TBC65466:TBC65490 TKY65466:TKY65490 TUU65466:TUU65490 UEQ65466:UEQ65490 UOM65466:UOM65490 UYI65466:UYI65490 VIE65466:VIE65490 VSA65466:VSA65490 WBW65466:WBW65490 WLS65466:WLS65490 WVO65466:WVO65490 G131089:G131113 JC131002:JC131026 SY131002:SY131026 ACU131002:ACU131026 AMQ131002:AMQ131026 AWM131002:AWM131026 BGI131002:BGI131026 BQE131002:BQE131026 CAA131002:CAA131026 CJW131002:CJW131026 CTS131002:CTS131026 DDO131002:DDO131026 DNK131002:DNK131026 DXG131002:DXG131026 EHC131002:EHC131026 EQY131002:EQY131026 FAU131002:FAU131026 FKQ131002:FKQ131026 FUM131002:FUM131026 GEI131002:GEI131026 GOE131002:GOE131026 GYA131002:GYA131026 HHW131002:HHW131026 HRS131002:HRS131026 IBO131002:IBO131026 ILK131002:ILK131026 IVG131002:IVG131026 JFC131002:JFC131026 JOY131002:JOY131026 JYU131002:JYU131026 KIQ131002:KIQ131026 KSM131002:KSM131026 LCI131002:LCI131026 LME131002:LME131026 LWA131002:LWA131026 MFW131002:MFW131026 MPS131002:MPS131026 MZO131002:MZO131026 NJK131002:NJK131026 NTG131002:NTG131026 ODC131002:ODC131026 OMY131002:OMY131026 OWU131002:OWU131026 PGQ131002:PGQ131026 PQM131002:PQM131026 QAI131002:QAI131026 QKE131002:QKE131026 QUA131002:QUA131026 RDW131002:RDW131026 RNS131002:RNS131026 RXO131002:RXO131026 SHK131002:SHK131026 SRG131002:SRG131026 TBC131002:TBC131026 TKY131002:TKY131026 TUU131002:TUU131026 UEQ131002:UEQ131026 UOM131002:UOM131026 UYI131002:UYI131026 VIE131002:VIE131026 VSA131002:VSA131026 WBW131002:WBW131026 WLS131002:WLS131026 WVO131002:WVO131026 G196625:G196649 JC196538:JC196562 SY196538:SY196562 ACU196538:ACU196562 AMQ196538:AMQ196562 AWM196538:AWM196562 BGI196538:BGI196562 BQE196538:BQE196562 CAA196538:CAA196562 CJW196538:CJW196562 CTS196538:CTS196562 DDO196538:DDO196562 DNK196538:DNK196562 DXG196538:DXG196562 EHC196538:EHC196562 EQY196538:EQY196562 FAU196538:FAU196562 FKQ196538:FKQ196562 FUM196538:FUM196562 GEI196538:GEI196562 GOE196538:GOE196562 GYA196538:GYA196562 HHW196538:HHW196562 HRS196538:HRS196562 IBO196538:IBO196562 ILK196538:ILK196562 IVG196538:IVG196562 JFC196538:JFC196562 JOY196538:JOY196562 JYU196538:JYU196562 KIQ196538:KIQ196562 KSM196538:KSM196562 LCI196538:LCI196562 LME196538:LME196562 LWA196538:LWA196562 MFW196538:MFW196562 MPS196538:MPS196562 MZO196538:MZO196562 NJK196538:NJK196562 NTG196538:NTG196562 ODC196538:ODC196562 OMY196538:OMY196562 OWU196538:OWU196562 PGQ196538:PGQ196562 PQM196538:PQM196562 QAI196538:QAI196562 QKE196538:QKE196562 QUA196538:QUA196562 RDW196538:RDW196562 RNS196538:RNS196562 RXO196538:RXO196562 SHK196538:SHK196562 SRG196538:SRG196562 TBC196538:TBC196562 TKY196538:TKY196562 TUU196538:TUU196562 UEQ196538:UEQ196562 UOM196538:UOM196562 UYI196538:UYI196562 VIE196538:VIE196562 VSA196538:VSA196562 WBW196538:WBW196562 WLS196538:WLS196562 WVO196538:WVO196562 G262161:G262185 JC262074:JC262098 SY262074:SY262098 ACU262074:ACU262098 AMQ262074:AMQ262098 AWM262074:AWM262098 BGI262074:BGI262098 BQE262074:BQE262098 CAA262074:CAA262098 CJW262074:CJW262098 CTS262074:CTS262098 DDO262074:DDO262098 DNK262074:DNK262098 DXG262074:DXG262098 EHC262074:EHC262098 EQY262074:EQY262098 FAU262074:FAU262098 FKQ262074:FKQ262098 FUM262074:FUM262098 GEI262074:GEI262098 GOE262074:GOE262098 GYA262074:GYA262098 HHW262074:HHW262098 HRS262074:HRS262098 IBO262074:IBO262098 ILK262074:ILK262098 IVG262074:IVG262098 JFC262074:JFC262098 JOY262074:JOY262098 JYU262074:JYU262098 KIQ262074:KIQ262098 KSM262074:KSM262098 LCI262074:LCI262098 LME262074:LME262098 LWA262074:LWA262098 MFW262074:MFW262098 MPS262074:MPS262098 MZO262074:MZO262098 NJK262074:NJK262098 NTG262074:NTG262098 ODC262074:ODC262098 OMY262074:OMY262098 OWU262074:OWU262098 PGQ262074:PGQ262098 PQM262074:PQM262098 QAI262074:QAI262098 QKE262074:QKE262098 QUA262074:QUA262098 RDW262074:RDW262098 RNS262074:RNS262098 RXO262074:RXO262098 SHK262074:SHK262098 SRG262074:SRG262098 TBC262074:TBC262098 TKY262074:TKY262098 TUU262074:TUU262098 UEQ262074:UEQ262098 UOM262074:UOM262098 UYI262074:UYI262098 VIE262074:VIE262098 VSA262074:VSA262098 WBW262074:WBW262098 WLS262074:WLS262098 WVO262074:WVO262098 G327697:G327721 JC327610:JC327634 SY327610:SY327634 ACU327610:ACU327634 AMQ327610:AMQ327634 AWM327610:AWM327634 BGI327610:BGI327634 BQE327610:BQE327634 CAA327610:CAA327634 CJW327610:CJW327634 CTS327610:CTS327634 DDO327610:DDO327634 DNK327610:DNK327634 DXG327610:DXG327634 EHC327610:EHC327634 EQY327610:EQY327634 FAU327610:FAU327634 FKQ327610:FKQ327634 FUM327610:FUM327634 GEI327610:GEI327634 GOE327610:GOE327634 GYA327610:GYA327634 HHW327610:HHW327634 HRS327610:HRS327634 IBO327610:IBO327634 ILK327610:ILK327634 IVG327610:IVG327634 JFC327610:JFC327634 JOY327610:JOY327634 JYU327610:JYU327634 KIQ327610:KIQ327634 KSM327610:KSM327634 LCI327610:LCI327634 LME327610:LME327634 LWA327610:LWA327634 MFW327610:MFW327634 MPS327610:MPS327634 MZO327610:MZO327634 NJK327610:NJK327634 NTG327610:NTG327634 ODC327610:ODC327634 OMY327610:OMY327634 OWU327610:OWU327634 PGQ327610:PGQ327634 PQM327610:PQM327634 QAI327610:QAI327634 QKE327610:QKE327634 QUA327610:QUA327634 RDW327610:RDW327634 RNS327610:RNS327634 RXO327610:RXO327634 SHK327610:SHK327634 SRG327610:SRG327634 TBC327610:TBC327634 TKY327610:TKY327634 TUU327610:TUU327634 UEQ327610:UEQ327634 UOM327610:UOM327634 UYI327610:UYI327634 VIE327610:VIE327634 VSA327610:VSA327634 WBW327610:WBW327634 WLS327610:WLS327634 WVO327610:WVO327634 G393233:G393257 JC393146:JC393170 SY393146:SY393170 ACU393146:ACU393170 AMQ393146:AMQ393170 AWM393146:AWM393170 BGI393146:BGI393170 BQE393146:BQE393170 CAA393146:CAA393170 CJW393146:CJW393170 CTS393146:CTS393170 DDO393146:DDO393170 DNK393146:DNK393170 DXG393146:DXG393170 EHC393146:EHC393170 EQY393146:EQY393170 FAU393146:FAU393170 FKQ393146:FKQ393170 FUM393146:FUM393170 GEI393146:GEI393170 GOE393146:GOE393170 GYA393146:GYA393170 HHW393146:HHW393170 HRS393146:HRS393170 IBO393146:IBO393170 ILK393146:ILK393170 IVG393146:IVG393170 JFC393146:JFC393170 JOY393146:JOY393170 JYU393146:JYU393170 KIQ393146:KIQ393170 KSM393146:KSM393170 LCI393146:LCI393170 LME393146:LME393170 LWA393146:LWA393170 MFW393146:MFW393170 MPS393146:MPS393170 MZO393146:MZO393170 NJK393146:NJK393170 NTG393146:NTG393170 ODC393146:ODC393170 OMY393146:OMY393170 OWU393146:OWU393170 PGQ393146:PGQ393170 PQM393146:PQM393170 QAI393146:QAI393170 QKE393146:QKE393170 QUA393146:QUA393170 RDW393146:RDW393170 RNS393146:RNS393170 RXO393146:RXO393170 SHK393146:SHK393170 SRG393146:SRG393170 TBC393146:TBC393170 TKY393146:TKY393170 TUU393146:TUU393170 UEQ393146:UEQ393170 UOM393146:UOM393170 UYI393146:UYI393170 VIE393146:VIE393170 VSA393146:VSA393170 WBW393146:WBW393170 WLS393146:WLS393170 WVO393146:WVO393170 G458769:G458793 JC458682:JC458706 SY458682:SY458706 ACU458682:ACU458706 AMQ458682:AMQ458706 AWM458682:AWM458706 BGI458682:BGI458706 BQE458682:BQE458706 CAA458682:CAA458706 CJW458682:CJW458706 CTS458682:CTS458706 DDO458682:DDO458706 DNK458682:DNK458706 DXG458682:DXG458706 EHC458682:EHC458706 EQY458682:EQY458706 FAU458682:FAU458706 FKQ458682:FKQ458706 FUM458682:FUM458706 GEI458682:GEI458706 GOE458682:GOE458706 GYA458682:GYA458706 HHW458682:HHW458706 HRS458682:HRS458706 IBO458682:IBO458706 ILK458682:ILK458706 IVG458682:IVG458706 JFC458682:JFC458706 JOY458682:JOY458706 JYU458682:JYU458706 KIQ458682:KIQ458706 KSM458682:KSM458706 LCI458682:LCI458706 LME458682:LME458706 LWA458682:LWA458706 MFW458682:MFW458706 MPS458682:MPS458706 MZO458682:MZO458706 NJK458682:NJK458706 NTG458682:NTG458706 ODC458682:ODC458706 OMY458682:OMY458706 OWU458682:OWU458706 PGQ458682:PGQ458706 PQM458682:PQM458706 QAI458682:QAI458706 QKE458682:QKE458706 QUA458682:QUA458706 RDW458682:RDW458706 RNS458682:RNS458706 RXO458682:RXO458706 SHK458682:SHK458706 SRG458682:SRG458706 TBC458682:TBC458706 TKY458682:TKY458706 TUU458682:TUU458706 UEQ458682:UEQ458706 UOM458682:UOM458706 UYI458682:UYI458706 VIE458682:VIE458706 VSA458682:VSA458706 WBW458682:WBW458706 WLS458682:WLS458706 WVO458682:WVO458706 G524305:G524329 JC524218:JC524242 SY524218:SY524242 ACU524218:ACU524242 AMQ524218:AMQ524242 AWM524218:AWM524242 BGI524218:BGI524242 BQE524218:BQE524242 CAA524218:CAA524242 CJW524218:CJW524242 CTS524218:CTS524242 DDO524218:DDO524242 DNK524218:DNK524242 DXG524218:DXG524242 EHC524218:EHC524242 EQY524218:EQY524242 FAU524218:FAU524242 FKQ524218:FKQ524242 FUM524218:FUM524242 GEI524218:GEI524242 GOE524218:GOE524242 GYA524218:GYA524242 HHW524218:HHW524242 HRS524218:HRS524242 IBO524218:IBO524242 ILK524218:ILK524242 IVG524218:IVG524242 JFC524218:JFC524242 JOY524218:JOY524242 JYU524218:JYU524242 KIQ524218:KIQ524242 KSM524218:KSM524242 LCI524218:LCI524242 LME524218:LME524242 LWA524218:LWA524242 MFW524218:MFW524242 MPS524218:MPS524242 MZO524218:MZO524242 NJK524218:NJK524242 NTG524218:NTG524242 ODC524218:ODC524242 OMY524218:OMY524242 OWU524218:OWU524242 PGQ524218:PGQ524242 PQM524218:PQM524242 QAI524218:QAI524242 QKE524218:QKE524242 QUA524218:QUA524242 RDW524218:RDW524242 RNS524218:RNS524242 RXO524218:RXO524242 SHK524218:SHK524242 SRG524218:SRG524242 TBC524218:TBC524242 TKY524218:TKY524242 TUU524218:TUU524242 UEQ524218:UEQ524242 UOM524218:UOM524242 UYI524218:UYI524242 VIE524218:VIE524242 VSA524218:VSA524242 WBW524218:WBW524242 WLS524218:WLS524242 WVO524218:WVO524242 G589841:G589865 JC589754:JC589778 SY589754:SY589778 ACU589754:ACU589778 AMQ589754:AMQ589778 AWM589754:AWM589778 BGI589754:BGI589778 BQE589754:BQE589778 CAA589754:CAA589778 CJW589754:CJW589778 CTS589754:CTS589778 DDO589754:DDO589778 DNK589754:DNK589778 DXG589754:DXG589778 EHC589754:EHC589778 EQY589754:EQY589778 FAU589754:FAU589778 FKQ589754:FKQ589778 FUM589754:FUM589778 GEI589754:GEI589778 GOE589754:GOE589778 GYA589754:GYA589778 HHW589754:HHW589778 HRS589754:HRS589778 IBO589754:IBO589778 ILK589754:ILK589778 IVG589754:IVG589778 JFC589754:JFC589778 JOY589754:JOY589778 JYU589754:JYU589778 KIQ589754:KIQ589778 KSM589754:KSM589778 LCI589754:LCI589778 LME589754:LME589778 LWA589754:LWA589778 MFW589754:MFW589778 MPS589754:MPS589778 MZO589754:MZO589778 NJK589754:NJK589778 NTG589754:NTG589778 ODC589754:ODC589778 OMY589754:OMY589778 OWU589754:OWU589778 PGQ589754:PGQ589778 PQM589754:PQM589778 QAI589754:QAI589778 QKE589754:QKE589778 QUA589754:QUA589778 RDW589754:RDW589778 RNS589754:RNS589778 RXO589754:RXO589778 SHK589754:SHK589778 SRG589754:SRG589778 TBC589754:TBC589778 TKY589754:TKY589778 TUU589754:TUU589778 UEQ589754:UEQ589778 UOM589754:UOM589778 UYI589754:UYI589778 VIE589754:VIE589778 VSA589754:VSA589778 WBW589754:WBW589778 WLS589754:WLS589778 WVO589754:WVO589778 G655377:G655401 JC655290:JC655314 SY655290:SY655314 ACU655290:ACU655314 AMQ655290:AMQ655314 AWM655290:AWM655314 BGI655290:BGI655314 BQE655290:BQE655314 CAA655290:CAA655314 CJW655290:CJW655314 CTS655290:CTS655314 DDO655290:DDO655314 DNK655290:DNK655314 DXG655290:DXG655314 EHC655290:EHC655314 EQY655290:EQY655314 FAU655290:FAU655314 FKQ655290:FKQ655314 FUM655290:FUM655314 GEI655290:GEI655314 GOE655290:GOE655314 GYA655290:GYA655314 HHW655290:HHW655314 HRS655290:HRS655314 IBO655290:IBO655314 ILK655290:ILK655314 IVG655290:IVG655314 JFC655290:JFC655314 JOY655290:JOY655314 JYU655290:JYU655314 KIQ655290:KIQ655314 KSM655290:KSM655314 LCI655290:LCI655314 LME655290:LME655314 LWA655290:LWA655314 MFW655290:MFW655314 MPS655290:MPS655314 MZO655290:MZO655314 NJK655290:NJK655314 NTG655290:NTG655314 ODC655290:ODC655314 OMY655290:OMY655314 OWU655290:OWU655314 PGQ655290:PGQ655314 PQM655290:PQM655314 QAI655290:QAI655314 QKE655290:QKE655314 QUA655290:QUA655314 RDW655290:RDW655314 RNS655290:RNS655314 RXO655290:RXO655314 SHK655290:SHK655314 SRG655290:SRG655314 TBC655290:TBC655314 TKY655290:TKY655314 TUU655290:TUU655314 UEQ655290:UEQ655314 UOM655290:UOM655314 UYI655290:UYI655314 VIE655290:VIE655314 VSA655290:VSA655314 WBW655290:WBW655314 WLS655290:WLS655314 WVO655290:WVO655314 G720913:G720937 JC720826:JC720850 SY720826:SY720850 ACU720826:ACU720850 AMQ720826:AMQ720850 AWM720826:AWM720850 BGI720826:BGI720850 BQE720826:BQE720850 CAA720826:CAA720850 CJW720826:CJW720850 CTS720826:CTS720850 DDO720826:DDO720850 DNK720826:DNK720850 DXG720826:DXG720850 EHC720826:EHC720850 EQY720826:EQY720850 FAU720826:FAU720850 FKQ720826:FKQ720850 FUM720826:FUM720850 GEI720826:GEI720850 GOE720826:GOE720850 GYA720826:GYA720850 HHW720826:HHW720850 HRS720826:HRS720850 IBO720826:IBO720850 ILK720826:ILK720850 IVG720826:IVG720850 JFC720826:JFC720850 JOY720826:JOY720850 JYU720826:JYU720850 KIQ720826:KIQ720850 KSM720826:KSM720850 LCI720826:LCI720850 LME720826:LME720850 LWA720826:LWA720850 MFW720826:MFW720850 MPS720826:MPS720850 MZO720826:MZO720850 NJK720826:NJK720850 NTG720826:NTG720850 ODC720826:ODC720850 OMY720826:OMY720850 OWU720826:OWU720850 PGQ720826:PGQ720850 PQM720826:PQM720850 QAI720826:QAI720850 QKE720826:QKE720850 QUA720826:QUA720850 RDW720826:RDW720850 RNS720826:RNS720850 RXO720826:RXO720850 SHK720826:SHK720850 SRG720826:SRG720850 TBC720826:TBC720850 TKY720826:TKY720850 TUU720826:TUU720850 UEQ720826:UEQ720850 UOM720826:UOM720850 UYI720826:UYI720850 VIE720826:VIE720850 VSA720826:VSA720850 WBW720826:WBW720850 WLS720826:WLS720850 WVO720826:WVO720850 G786449:G786473 JC786362:JC786386 SY786362:SY786386 ACU786362:ACU786386 AMQ786362:AMQ786386 AWM786362:AWM786386 BGI786362:BGI786386 BQE786362:BQE786386 CAA786362:CAA786386 CJW786362:CJW786386 CTS786362:CTS786386 DDO786362:DDO786386 DNK786362:DNK786386 DXG786362:DXG786386 EHC786362:EHC786386 EQY786362:EQY786386 FAU786362:FAU786386 FKQ786362:FKQ786386 FUM786362:FUM786386 GEI786362:GEI786386 GOE786362:GOE786386 GYA786362:GYA786386 HHW786362:HHW786386 HRS786362:HRS786386 IBO786362:IBO786386 ILK786362:ILK786386 IVG786362:IVG786386 JFC786362:JFC786386 JOY786362:JOY786386 JYU786362:JYU786386 KIQ786362:KIQ786386 KSM786362:KSM786386 LCI786362:LCI786386 LME786362:LME786386 LWA786362:LWA786386 MFW786362:MFW786386 MPS786362:MPS786386 MZO786362:MZO786386 NJK786362:NJK786386 NTG786362:NTG786386 ODC786362:ODC786386 OMY786362:OMY786386 OWU786362:OWU786386 PGQ786362:PGQ786386 PQM786362:PQM786386 QAI786362:QAI786386 QKE786362:QKE786386 QUA786362:QUA786386 RDW786362:RDW786386 RNS786362:RNS786386 RXO786362:RXO786386 SHK786362:SHK786386 SRG786362:SRG786386 TBC786362:TBC786386 TKY786362:TKY786386 TUU786362:TUU786386 UEQ786362:UEQ786386 UOM786362:UOM786386 UYI786362:UYI786386 VIE786362:VIE786386 VSA786362:VSA786386 WBW786362:WBW786386 WLS786362:WLS786386 WVO786362:WVO786386 G851985:G852009 JC851898:JC851922 SY851898:SY851922 ACU851898:ACU851922 AMQ851898:AMQ851922 AWM851898:AWM851922 BGI851898:BGI851922 BQE851898:BQE851922 CAA851898:CAA851922 CJW851898:CJW851922 CTS851898:CTS851922 DDO851898:DDO851922 DNK851898:DNK851922 DXG851898:DXG851922 EHC851898:EHC851922 EQY851898:EQY851922 FAU851898:FAU851922 FKQ851898:FKQ851922 FUM851898:FUM851922 GEI851898:GEI851922 GOE851898:GOE851922 GYA851898:GYA851922 HHW851898:HHW851922 HRS851898:HRS851922 IBO851898:IBO851922 ILK851898:ILK851922 IVG851898:IVG851922 JFC851898:JFC851922 JOY851898:JOY851922 JYU851898:JYU851922 KIQ851898:KIQ851922 KSM851898:KSM851922 LCI851898:LCI851922 LME851898:LME851922 LWA851898:LWA851922 MFW851898:MFW851922 MPS851898:MPS851922 MZO851898:MZO851922 NJK851898:NJK851922 NTG851898:NTG851922 ODC851898:ODC851922 OMY851898:OMY851922 OWU851898:OWU851922 PGQ851898:PGQ851922 PQM851898:PQM851922 QAI851898:QAI851922 QKE851898:QKE851922 QUA851898:QUA851922 RDW851898:RDW851922 RNS851898:RNS851922 RXO851898:RXO851922 SHK851898:SHK851922 SRG851898:SRG851922 TBC851898:TBC851922 TKY851898:TKY851922 TUU851898:TUU851922 UEQ851898:UEQ851922 UOM851898:UOM851922 UYI851898:UYI851922 VIE851898:VIE851922 VSA851898:VSA851922 WBW851898:WBW851922 WLS851898:WLS851922 WVO851898:WVO851922 G917521:G917545 JC917434:JC917458 SY917434:SY917458 ACU917434:ACU917458 AMQ917434:AMQ917458 AWM917434:AWM917458 BGI917434:BGI917458 BQE917434:BQE917458 CAA917434:CAA917458 CJW917434:CJW917458 CTS917434:CTS917458 DDO917434:DDO917458 DNK917434:DNK917458 DXG917434:DXG917458 EHC917434:EHC917458 EQY917434:EQY917458 FAU917434:FAU917458 FKQ917434:FKQ917458 FUM917434:FUM917458 GEI917434:GEI917458 GOE917434:GOE917458 GYA917434:GYA917458 HHW917434:HHW917458 HRS917434:HRS917458 IBO917434:IBO917458 ILK917434:ILK917458 IVG917434:IVG917458 JFC917434:JFC917458 JOY917434:JOY917458 JYU917434:JYU917458 KIQ917434:KIQ917458 KSM917434:KSM917458 LCI917434:LCI917458 LME917434:LME917458 LWA917434:LWA917458 MFW917434:MFW917458 MPS917434:MPS917458 MZO917434:MZO917458 NJK917434:NJK917458 NTG917434:NTG917458 ODC917434:ODC917458 OMY917434:OMY917458 OWU917434:OWU917458 PGQ917434:PGQ917458 PQM917434:PQM917458 QAI917434:QAI917458 QKE917434:QKE917458 QUA917434:QUA917458 RDW917434:RDW917458 RNS917434:RNS917458 RXO917434:RXO917458 SHK917434:SHK917458 SRG917434:SRG917458 TBC917434:TBC917458 TKY917434:TKY917458 TUU917434:TUU917458 UEQ917434:UEQ917458 UOM917434:UOM917458 UYI917434:UYI917458 VIE917434:VIE917458 VSA917434:VSA917458 WBW917434:WBW917458 WLS917434:WLS917458 WVO917434:WVO917458 G983057:G983081 JC982970:JC982994 SY982970:SY982994 ACU982970:ACU982994 AMQ982970:AMQ982994 AWM982970:AWM982994 BGI982970:BGI982994 BQE982970:BQE982994 CAA982970:CAA982994 CJW982970:CJW982994 CTS982970:CTS982994 DDO982970:DDO982994 DNK982970:DNK982994 DXG982970:DXG982994 EHC982970:EHC982994 EQY982970:EQY982994 FAU982970:FAU982994 FKQ982970:FKQ982994 FUM982970:FUM982994 GEI982970:GEI982994 GOE982970:GOE982994 GYA982970:GYA982994 HHW982970:HHW982994 HRS982970:HRS982994 IBO982970:IBO982994 ILK982970:ILK982994 IVG982970:IVG982994 JFC982970:JFC982994 JOY982970:JOY982994 JYU982970:JYU982994 KIQ982970:KIQ982994 KSM982970:KSM982994 LCI982970:LCI982994 LME982970:LME982994 LWA982970:LWA982994 MFW982970:MFW982994 MPS982970:MPS982994 MZO982970:MZO982994 NJK982970:NJK982994 NTG982970:NTG982994 ODC982970:ODC982994 OMY982970:OMY982994 OWU982970:OWU982994 PGQ982970:PGQ982994 PQM982970:PQM982994 QAI982970:QAI982994 QKE982970:QKE982994 QUA982970:QUA982994 RDW982970:RDW982994 RNS982970:RNS982994 RXO982970:RXO982994 SHK982970:SHK982994 SRG982970:SRG982994 TBC982970:TBC982994 TKY982970:TKY982994 TUU982970:TUU982994 UEQ982970:UEQ982994 UOM982970:UOM982994 UYI982970:UYI982994 VIE982970:VIE982994 VSA982970:VSA982994 WBW982970:WBW982994 WLS982970:WLS982994 JB13:JB513 WVN13:WVN513 WLR13:WLR513 WBV13:WBV513 VRZ13:VRZ513 VID13:VID513 UYH13:UYH513 UOL13:UOL513 UEP13:UEP513 TUT13:TUT513 TKX13:TKX513 TBB13:TBB513 SRF13:SRF513 SHJ13:SHJ513 RXN13:RXN513 RNR13:RNR513 RDV13:RDV513 QTZ13:QTZ513 QKD13:QKD513 QAH13:QAH513 PQL13:PQL513 PGP13:PGP513 OWT13:OWT513 OMX13:OMX513 ODB13:ODB513 NTF13:NTF513 NJJ13:NJJ513 MZN13:MZN513 MPR13:MPR513 MFV13:MFV513 LVZ13:LVZ513 LMD13:LMD513 LCH13:LCH513 KSL13:KSL513 KIP13:KIP513 JYT13:JYT513 JOX13:JOX513 JFB13:JFB513 IVF13:IVF513 ILJ13:ILJ513 IBN13:IBN513 HRR13:HRR513 HHV13:HHV513 GXZ13:GXZ513 GOD13:GOD513 GEH13:GEH513 FUL13:FUL513 FKP13:FKP513 FAT13:FAT513 EQX13:EQX513 EHB13:EHB513 DXF13:DXF513 DNJ13:DNJ513 DDN13:DDN513 CTR13:CTR513 CJV13:CJV513 BZZ13:BZZ513 BQD13:BQD513 BGH13:BGH513 AWL13:AWL513 AMP13:AMP513 ACT13:ACT513 SX13:SX513 H13:H513" xr:uid="{00000000-0002-0000-0E00-00000E000000}"/>
    <dataValidation allowBlank="1" showInputMessage="1" showErrorMessage="1" prompt="For the service code in column &quot;C&quot; enter the end date for the last 2 months of service during the review period and any month in which a break in service delivery took place" sqref="WVN982970:WVN982994 F65553:F65577 JB65466:JB65490 SX65466:SX65490 ACT65466:ACT65490 AMP65466:AMP65490 AWL65466:AWL65490 BGH65466:BGH65490 BQD65466:BQD65490 BZZ65466:BZZ65490 CJV65466:CJV65490 CTR65466:CTR65490 DDN65466:DDN65490 DNJ65466:DNJ65490 DXF65466:DXF65490 EHB65466:EHB65490 EQX65466:EQX65490 FAT65466:FAT65490 FKP65466:FKP65490 FUL65466:FUL65490 GEH65466:GEH65490 GOD65466:GOD65490 GXZ65466:GXZ65490 HHV65466:HHV65490 HRR65466:HRR65490 IBN65466:IBN65490 ILJ65466:ILJ65490 IVF65466:IVF65490 JFB65466:JFB65490 JOX65466:JOX65490 JYT65466:JYT65490 KIP65466:KIP65490 KSL65466:KSL65490 LCH65466:LCH65490 LMD65466:LMD65490 LVZ65466:LVZ65490 MFV65466:MFV65490 MPR65466:MPR65490 MZN65466:MZN65490 NJJ65466:NJJ65490 NTF65466:NTF65490 ODB65466:ODB65490 OMX65466:OMX65490 OWT65466:OWT65490 PGP65466:PGP65490 PQL65466:PQL65490 QAH65466:QAH65490 QKD65466:QKD65490 QTZ65466:QTZ65490 RDV65466:RDV65490 RNR65466:RNR65490 RXN65466:RXN65490 SHJ65466:SHJ65490 SRF65466:SRF65490 TBB65466:TBB65490 TKX65466:TKX65490 TUT65466:TUT65490 UEP65466:UEP65490 UOL65466:UOL65490 UYH65466:UYH65490 VID65466:VID65490 VRZ65466:VRZ65490 WBV65466:WBV65490 WLR65466:WLR65490 WVN65466:WVN65490 F131089:F131113 JB131002:JB131026 SX131002:SX131026 ACT131002:ACT131026 AMP131002:AMP131026 AWL131002:AWL131026 BGH131002:BGH131026 BQD131002:BQD131026 BZZ131002:BZZ131026 CJV131002:CJV131026 CTR131002:CTR131026 DDN131002:DDN131026 DNJ131002:DNJ131026 DXF131002:DXF131026 EHB131002:EHB131026 EQX131002:EQX131026 FAT131002:FAT131026 FKP131002:FKP131026 FUL131002:FUL131026 GEH131002:GEH131026 GOD131002:GOD131026 GXZ131002:GXZ131026 HHV131002:HHV131026 HRR131002:HRR131026 IBN131002:IBN131026 ILJ131002:ILJ131026 IVF131002:IVF131026 JFB131002:JFB131026 JOX131002:JOX131026 JYT131002:JYT131026 KIP131002:KIP131026 KSL131002:KSL131026 LCH131002:LCH131026 LMD131002:LMD131026 LVZ131002:LVZ131026 MFV131002:MFV131026 MPR131002:MPR131026 MZN131002:MZN131026 NJJ131002:NJJ131026 NTF131002:NTF131026 ODB131002:ODB131026 OMX131002:OMX131026 OWT131002:OWT131026 PGP131002:PGP131026 PQL131002:PQL131026 QAH131002:QAH131026 QKD131002:QKD131026 QTZ131002:QTZ131026 RDV131002:RDV131026 RNR131002:RNR131026 RXN131002:RXN131026 SHJ131002:SHJ131026 SRF131002:SRF131026 TBB131002:TBB131026 TKX131002:TKX131026 TUT131002:TUT131026 UEP131002:UEP131026 UOL131002:UOL131026 UYH131002:UYH131026 VID131002:VID131026 VRZ131002:VRZ131026 WBV131002:WBV131026 WLR131002:WLR131026 WVN131002:WVN131026 F196625:F196649 JB196538:JB196562 SX196538:SX196562 ACT196538:ACT196562 AMP196538:AMP196562 AWL196538:AWL196562 BGH196538:BGH196562 BQD196538:BQD196562 BZZ196538:BZZ196562 CJV196538:CJV196562 CTR196538:CTR196562 DDN196538:DDN196562 DNJ196538:DNJ196562 DXF196538:DXF196562 EHB196538:EHB196562 EQX196538:EQX196562 FAT196538:FAT196562 FKP196538:FKP196562 FUL196538:FUL196562 GEH196538:GEH196562 GOD196538:GOD196562 GXZ196538:GXZ196562 HHV196538:HHV196562 HRR196538:HRR196562 IBN196538:IBN196562 ILJ196538:ILJ196562 IVF196538:IVF196562 JFB196538:JFB196562 JOX196538:JOX196562 JYT196538:JYT196562 KIP196538:KIP196562 KSL196538:KSL196562 LCH196538:LCH196562 LMD196538:LMD196562 LVZ196538:LVZ196562 MFV196538:MFV196562 MPR196538:MPR196562 MZN196538:MZN196562 NJJ196538:NJJ196562 NTF196538:NTF196562 ODB196538:ODB196562 OMX196538:OMX196562 OWT196538:OWT196562 PGP196538:PGP196562 PQL196538:PQL196562 QAH196538:QAH196562 QKD196538:QKD196562 QTZ196538:QTZ196562 RDV196538:RDV196562 RNR196538:RNR196562 RXN196538:RXN196562 SHJ196538:SHJ196562 SRF196538:SRF196562 TBB196538:TBB196562 TKX196538:TKX196562 TUT196538:TUT196562 UEP196538:UEP196562 UOL196538:UOL196562 UYH196538:UYH196562 VID196538:VID196562 VRZ196538:VRZ196562 WBV196538:WBV196562 WLR196538:WLR196562 WVN196538:WVN196562 F262161:F262185 JB262074:JB262098 SX262074:SX262098 ACT262074:ACT262098 AMP262074:AMP262098 AWL262074:AWL262098 BGH262074:BGH262098 BQD262074:BQD262098 BZZ262074:BZZ262098 CJV262074:CJV262098 CTR262074:CTR262098 DDN262074:DDN262098 DNJ262074:DNJ262098 DXF262074:DXF262098 EHB262074:EHB262098 EQX262074:EQX262098 FAT262074:FAT262098 FKP262074:FKP262098 FUL262074:FUL262098 GEH262074:GEH262098 GOD262074:GOD262098 GXZ262074:GXZ262098 HHV262074:HHV262098 HRR262074:HRR262098 IBN262074:IBN262098 ILJ262074:ILJ262098 IVF262074:IVF262098 JFB262074:JFB262098 JOX262074:JOX262098 JYT262074:JYT262098 KIP262074:KIP262098 KSL262074:KSL262098 LCH262074:LCH262098 LMD262074:LMD262098 LVZ262074:LVZ262098 MFV262074:MFV262098 MPR262074:MPR262098 MZN262074:MZN262098 NJJ262074:NJJ262098 NTF262074:NTF262098 ODB262074:ODB262098 OMX262074:OMX262098 OWT262074:OWT262098 PGP262074:PGP262098 PQL262074:PQL262098 QAH262074:QAH262098 QKD262074:QKD262098 QTZ262074:QTZ262098 RDV262074:RDV262098 RNR262074:RNR262098 RXN262074:RXN262098 SHJ262074:SHJ262098 SRF262074:SRF262098 TBB262074:TBB262098 TKX262074:TKX262098 TUT262074:TUT262098 UEP262074:UEP262098 UOL262074:UOL262098 UYH262074:UYH262098 VID262074:VID262098 VRZ262074:VRZ262098 WBV262074:WBV262098 WLR262074:WLR262098 WVN262074:WVN262098 F327697:F327721 JB327610:JB327634 SX327610:SX327634 ACT327610:ACT327634 AMP327610:AMP327634 AWL327610:AWL327634 BGH327610:BGH327634 BQD327610:BQD327634 BZZ327610:BZZ327634 CJV327610:CJV327634 CTR327610:CTR327634 DDN327610:DDN327634 DNJ327610:DNJ327634 DXF327610:DXF327634 EHB327610:EHB327634 EQX327610:EQX327634 FAT327610:FAT327634 FKP327610:FKP327634 FUL327610:FUL327634 GEH327610:GEH327634 GOD327610:GOD327634 GXZ327610:GXZ327634 HHV327610:HHV327634 HRR327610:HRR327634 IBN327610:IBN327634 ILJ327610:ILJ327634 IVF327610:IVF327634 JFB327610:JFB327634 JOX327610:JOX327634 JYT327610:JYT327634 KIP327610:KIP327634 KSL327610:KSL327634 LCH327610:LCH327634 LMD327610:LMD327634 LVZ327610:LVZ327634 MFV327610:MFV327634 MPR327610:MPR327634 MZN327610:MZN327634 NJJ327610:NJJ327634 NTF327610:NTF327634 ODB327610:ODB327634 OMX327610:OMX327634 OWT327610:OWT327634 PGP327610:PGP327634 PQL327610:PQL327634 QAH327610:QAH327634 QKD327610:QKD327634 QTZ327610:QTZ327634 RDV327610:RDV327634 RNR327610:RNR327634 RXN327610:RXN327634 SHJ327610:SHJ327634 SRF327610:SRF327634 TBB327610:TBB327634 TKX327610:TKX327634 TUT327610:TUT327634 UEP327610:UEP327634 UOL327610:UOL327634 UYH327610:UYH327634 VID327610:VID327634 VRZ327610:VRZ327634 WBV327610:WBV327634 WLR327610:WLR327634 WVN327610:WVN327634 F393233:F393257 JB393146:JB393170 SX393146:SX393170 ACT393146:ACT393170 AMP393146:AMP393170 AWL393146:AWL393170 BGH393146:BGH393170 BQD393146:BQD393170 BZZ393146:BZZ393170 CJV393146:CJV393170 CTR393146:CTR393170 DDN393146:DDN393170 DNJ393146:DNJ393170 DXF393146:DXF393170 EHB393146:EHB393170 EQX393146:EQX393170 FAT393146:FAT393170 FKP393146:FKP393170 FUL393146:FUL393170 GEH393146:GEH393170 GOD393146:GOD393170 GXZ393146:GXZ393170 HHV393146:HHV393170 HRR393146:HRR393170 IBN393146:IBN393170 ILJ393146:ILJ393170 IVF393146:IVF393170 JFB393146:JFB393170 JOX393146:JOX393170 JYT393146:JYT393170 KIP393146:KIP393170 KSL393146:KSL393170 LCH393146:LCH393170 LMD393146:LMD393170 LVZ393146:LVZ393170 MFV393146:MFV393170 MPR393146:MPR393170 MZN393146:MZN393170 NJJ393146:NJJ393170 NTF393146:NTF393170 ODB393146:ODB393170 OMX393146:OMX393170 OWT393146:OWT393170 PGP393146:PGP393170 PQL393146:PQL393170 QAH393146:QAH393170 QKD393146:QKD393170 QTZ393146:QTZ393170 RDV393146:RDV393170 RNR393146:RNR393170 RXN393146:RXN393170 SHJ393146:SHJ393170 SRF393146:SRF393170 TBB393146:TBB393170 TKX393146:TKX393170 TUT393146:TUT393170 UEP393146:UEP393170 UOL393146:UOL393170 UYH393146:UYH393170 VID393146:VID393170 VRZ393146:VRZ393170 WBV393146:WBV393170 WLR393146:WLR393170 WVN393146:WVN393170 F458769:F458793 JB458682:JB458706 SX458682:SX458706 ACT458682:ACT458706 AMP458682:AMP458706 AWL458682:AWL458706 BGH458682:BGH458706 BQD458682:BQD458706 BZZ458682:BZZ458706 CJV458682:CJV458706 CTR458682:CTR458706 DDN458682:DDN458706 DNJ458682:DNJ458706 DXF458682:DXF458706 EHB458682:EHB458706 EQX458682:EQX458706 FAT458682:FAT458706 FKP458682:FKP458706 FUL458682:FUL458706 GEH458682:GEH458706 GOD458682:GOD458706 GXZ458682:GXZ458706 HHV458682:HHV458706 HRR458682:HRR458706 IBN458682:IBN458706 ILJ458682:ILJ458706 IVF458682:IVF458706 JFB458682:JFB458706 JOX458682:JOX458706 JYT458682:JYT458706 KIP458682:KIP458706 KSL458682:KSL458706 LCH458682:LCH458706 LMD458682:LMD458706 LVZ458682:LVZ458706 MFV458682:MFV458706 MPR458682:MPR458706 MZN458682:MZN458706 NJJ458682:NJJ458706 NTF458682:NTF458706 ODB458682:ODB458706 OMX458682:OMX458706 OWT458682:OWT458706 PGP458682:PGP458706 PQL458682:PQL458706 QAH458682:QAH458706 QKD458682:QKD458706 QTZ458682:QTZ458706 RDV458682:RDV458706 RNR458682:RNR458706 RXN458682:RXN458706 SHJ458682:SHJ458706 SRF458682:SRF458706 TBB458682:TBB458706 TKX458682:TKX458706 TUT458682:TUT458706 UEP458682:UEP458706 UOL458682:UOL458706 UYH458682:UYH458706 VID458682:VID458706 VRZ458682:VRZ458706 WBV458682:WBV458706 WLR458682:WLR458706 WVN458682:WVN458706 F524305:F524329 JB524218:JB524242 SX524218:SX524242 ACT524218:ACT524242 AMP524218:AMP524242 AWL524218:AWL524242 BGH524218:BGH524242 BQD524218:BQD524242 BZZ524218:BZZ524242 CJV524218:CJV524242 CTR524218:CTR524242 DDN524218:DDN524242 DNJ524218:DNJ524242 DXF524218:DXF524242 EHB524218:EHB524242 EQX524218:EQX524242 FAT524218:FAT524242 FKP524218:FKP524242 FUL524218:FUL524242 GEH524218:GEH524242 GOD524218:GOD524242 GXZ524218:GXZ524242 HHV524218:HHV524242 HRR524218:HRR524242 IBN524218:IBN524242 ILJ524218:ILJ524242 IVF524218:IVF524242 JFB524218:JFB524242 JOX524218:JOX524242 JYT524218:JYT524242 KIP524218:KIP524242 KSL524218:KSL524242 LCH524218:LCH524242 LMD524218:LMD524242 LVZ524218:LVZ524242 MFV524218:MFV524242 MPR524218:MPR524242 MZN524218:MZN524242 NJJ524218:NJJ524242 NTF524218:NTF524242 ODB524218:ODB524242 OMX524218:OMX524242 OWT524218:OWT524242 PGP524218:PGP524242 PQL524218:PQL524242 QAH524218:QAH524242 QKD524218:QKD524242 QTZ524218:QTZ524242 RDV524218:RDV524242 RNR524218:RNR524242 RXN524218:RXN524242 SHJ524218:SHJ524242 SRF524218:SRF524242 TBB524218:TBB524242 TKX524218:TKX524242 TUT524218:TUT524242 UEP524218:UEP524242 UOL524218:UOL524242 UYH524218:UYH524242 VID524218:VID524242 VRZ524218:VRZ524242 WBV524218:WBV524242 WLR524218:WLR524242 WVN524218:WVN524242 F589841:F589865 JB589754:JB589778 SX589754:SX589778 ACT589754:ACT589778 AMP589754:AMP589778 AWL589754:AWL589778 BGH589754:BGH589778 BQD589754:BQD589778 BZZ589754:BZZ589778 CJV589754:CJV589778 CTR589754:CTR589778 DDN589754:DDN589778 DNJ589754:DNJ589778 DXF589754:DXF589778 EHB589754:EHB589778 EQX589754:EQX589778 FAT589754:FAT589778 FKP589754:FKP589778 FUL589754:FUL589778 GEH589754:GEH589778 GOD589754:GOD589778 GXZ589754:GXZ589778 HHV589754:HHV589778 HRR589754:HRR589778 IBN589754:IBN589778 ILJ589754:ILJ589778 IVF589754:IVF589778 JFB589754:JFB589778 JOX589754:JOX589778 JYT589754:JYT589778 KIP589754:KIP589778 KSL589754:KSL589778 LCH589754:LCH589778 LMD589754:LMD589778 LVZ589754:LVZ589778 MFV589754:MFV589778 MPR589754:MPR589778 MZN589754:MZN589778 NJJ589754:NJJ589778 NTF589754:NTF589778 ODB589754:ODB589778 OMX589754:OMX589778 OWT589754:OWT589778 PGP589754:PGP589778 PQL589754:PQL589778 QAH589754:QAH589778 QKD589754:QKD589778 QTZ589754:QTZ589778 RDV589754:RDV589778 RNR589754:RNR589778 RXN589754:RXN589778 SHJ589754:SHJ589778 SRF589754:SRF589778 TBB589754:TBB589778 TKX589754:TKX589778 TUT589754:TUT589778 UEP589754:UEP589778 UOL589754:UOL589778 UYH589754:UYH589778 VID589754:VID589778 VRZ589754:VRZ589778 WBV589754:WBV589778 WLR589754:WLR589778 WVN589754:WVN589778 F655377:F655401 JB655290:JB655314 SX655290:SX655314 ACT655290:ACT655314 AMP655290:AMP655314 AWL655290:AWL655314 BGH655290:BGH655314 BQD655290:BQD655314 BZZ655290:BZZ655314 CJV655290:CJV655314 CTR655290:CTR655314 DDN655290:DDN655314 DNJ655290:DNJ655314 DXF655290:DXF655314 EHB655290:EHB655314 EQX655290:EQX655314 FAT655290:FAT655314 FKP655290:FKP655314 FUL655290:FUL655314 GEH655290:GEH655314 GOD655290:GOD655314 GXZ655290:GXZ655314 HHV655290:HHV655314 HRR655290:HRR655314 IBN655290:IBN655314 ILJ655290:ILJ655314 IVF655290:IVF655314 JFB655290:JFB655314 JOX655290:JOX655314 JYT655290:JYT655314 KIP655290:KIP655314 KSL655290:KSL655314 LCH655290:LCH655314 LMD655290:LMD655314 LVZ655290:LVZ655314 MFV655290:MFV655314 MPR655290:MPR655314 MZN655290:MZN655314 NJJ655290:NJJ655314 NTF655290:NTF655314 ODB655290:ODB655314 OMX655290:OMX655314 OWT655290:OWT655314 PGP655290:PGP655314 PQL655290:PQL655314 QAH655290:QAH655314 QKD655290:QKD655314 QTZ655290:QTZ655314 RDV655290:RDV655314 RNR655290:RNR655314 RXN655290:RXN655314 SHJ655290:SHJ655314 SRF655290:SRF655314 TBB655290:TBB655314 TKX655290:TKX655314 TUT655290:TUT655314 UEP655290:UEP655314 UOL655290:UOL655314 UYH655290:UYH655314 VID655290:VID655314 VRZ655290:VRZ655314 WBV655290:WBV655314 WLR655290:WLR655314 WVN655290:WVN655314 F720913:F720937 JB720826:JB720850 SX720826:SX720850 ACT720826:ACT720850 AMP720826:AMP720850 AWL720826:AWL720850 BGH720826:BGH720850 BQD720826:BQD720850 BZZ720826:BZZ720850 CJV720826:CJV720850 CTR720826:CTR720850 DDN720826:DDN720850 DNJ720826:DNJ720850 DXF720826:DXF720850 EHB720826:EHB720850 EQX720826:EQX720850 FAT720826:FAT720850 FKP720826:FKP720850 FUL720826:FUL720850 GEH720826:GEH720850 GOD720826:GOD720850 GXZ720826:GXZ720850 HHV720826:HHV720850 HRR720826:HRR720850 IBN720826:IBN720850 ILJ720826:ILJ720850 IVF720826:IVF720850 JFB720826:JFB720850 JOX720826:JOX720850 JYT720826:JYT720850 KIP720826:KIP720850 KSL720826:KSL720850 LCH720826:LCH720850 LMD720826:LMD720850 LVZ720826:LVZ720850 MFV720826:MFV720850 MPR720826:MPR720850 MZN720826:MZN720850 NJJ720826:NJJ720850 NTF720826:NTF720850 ODB720826:ODB720850 OMX720826:OMX720850 OWT720826:OWT720850 PGP720826:PGP720850 PQL720826:PQL720850 QAH720826:QAH720850 QKD720826:QKD720850 QTZ720826:QTZ720850 RDV720826:RDV720850 RNR720826:RNR720850 RXN720826:RXN720850 SHJ720826:SHJ720850 SRF720826:SRF720850 TBB720826:TBB720850 TKX720826:TKX720850 TUT720826:TUT720850 UEP720826:UEP720850 UOL720826:UOL720850 UYH720826:UYH720850 VID720826:VID720850 VRZ720826:VRZ720850 WBV720826:WBV720850 WLR720826:WLR720850 WVN720826:WVN720850 F786449:F786473 JB786362:JB786386 SX786362:SX786386 ACT786362:ACT786386 AMP786362:AMP786386 AWL786362:AWL786386 BGH786362:BGH786386 BQD786362:BQD786386 BZZ786362:BZZ786386 CJV786362:CJV786386 CTR786362:CTR786386 DDN786362:DDN786386 DNJ786362:DNJ786386 DXF786362:DXF786386 EHB786362:EHB786386 EQX786362:EQX786386 FAT786362:FAT786386 FKP786362:FKP786386 FUL786362:FUL786386 GEH786362:GEH786386 GOD786362:GOD786386 GXZ786362:GXZ786386 HHV786362:HHV786386 HRR786362:HRR786386 IBN786362:IBN786386 ILJ786362:ILJ786386 IVF786362:IVF786386 JFB786362:JFB786386 JOX786362:JOX786386 JYT786362:JYT786386 KIP786362:KIP786386 KSL786362:KSL786386 LCH786362:LCH786386 LMD786362:LMD786386 LVZ786362:LVZ786386 MFV786362:MFV786386 MPR786362:MPR786386 MZN786362:MZN786386 NJJ786362:NJJ786386 NTF786362:NTF786386 ODB786362:ODB786386 OMX786362:OMX786386 OWT786362:OWT786386 PGP786362:PGP786386 PQL786362:PQL786386 QAH786362:QAH786386 QKD786362:QKD786386 QTZ786362:QTZ786386 RDV786362:RDV786386 RNR786362:RNR786386 RXN786362:RXN786386 SHJ786362:SHJ786386 SRF786362:SRF786386 TBB786362:TBB786386 TKX786362:TKX786386 TUT786362:TUT786386 UEP786362:UEP786386 UOL786362:UOL786386 UYH786362:UYH786386 VID786362:VID786386 VRZ786362:VRZ786386 WBV786362:WBV786386 WLR786362:WLR786386 WVN786362:WVN786386 F851985:F852009 JB851898:JB851922 SX851898:SX851922 ACT851898:ACT851922 AMP851898:AMP851922 AWL851898:AWL851922 BGH851898:BGH851922 BQD851898:BQD851922 BZZ851898:BZZ851922 CJV851898:CJV851922 CTR851898:CTR851922 DDN851898:DDN851922 DNJ851898:DNJ851922 DXF851898:DXF851922 EHB851898:EHB851922 EQX851898:EQX851922 FAT851898:FAT851922 FKP851898:FKP851922 FUL851898:FUL851922 GEH851898:GEH851922 GOD851898:GOD851922 GXZ851898:GXZ851922 HHV851898:HHV851922 HRR851898:HRR851922 IBN851898:IBN851922 ILJ851898:ILJ851922 IVF851898:IVF851922 JFB851898:JFB851922 JOX851898:JOX851922 JYT851898:JYT851922 KIP851898:KIP851922 KSL851898:KSL851922 LCH851898:LCH851922 LMD851898:LMD851922 LVZ851898:LVZ851922 MFV851898:MFV851922 MPR851898:MPR851922 MZN851898:MZN851922 NJJ851898:NJJ851922 NTF851898:NTF851922 ODB851898:ODB851922 OMX851898:OMX851922 OWT851898:OWT851922 PGP851898:PGP851922 PQL851898:PQL851922 QAH851898:QAH851922 QKD851898:QKD851922 QTZ851898:QTZ851922 RDV851898:RDV851922 RNR851898:RNR851922 RXN851898:RXN851922 SHJ851898:SHJ851922 SRF851898:SRF851922 TBB851898:TBB851922 TKX851898:TKX851922 TUT851898:TUT851922 UEP851898:UEP851922 UOL851898:UOL851922 UYH851898:UYH851922 VID851898:VID851922 VRZ851898:VRZ851922 WBV851898:WBV851922 WLR851898:WLR851922 WVN851898:WVN851922 F917521:F917545 JB917434:JB917458 SX917434:SX917458 ACT917434:ACT917458 AMP917434:AMP917458 AWL917434:AWL917458 BGH917434:BGH917458 BQD917434:BQD917458 BZZ917434:BZZ917458 CJV917434:CJV917458 CTR917434:CTR917458 DDN917434:DDN917458 DNJ917434:DNJ917458 DXF917434:DXF917458 EHB917434:EHB917458 EQX917434:EQX917458 FAT917434:FAT917458 FKP917434:FKP917458 FUL917434:FUL917458 GEH917434:GEH917458 GOD917434:GOD917458 GXZ917434:GXZ917458 HHV917434:HHV917458 HRR917434:HRR917458 IBN917434:IBN917458 ILJ917434:ILJ917458 IVF917434:IVF917458 JFB917434:JFB917458 JOX917434:JOX917458 JYT917434:JYT917458 KIP917434:KIP917458 KSL917434:KSL917458 LCH917434:LCH917458 LMD917434:LMD917458 LVZ917434:LVZ917458 MFV917434:MFV917458 MPR917434:MPR917458 MZN917434:MZN917458 NJJ917434:NJJ917458 NTF917434:NTF917458 ODB917434:ODB917458 OMX917434:OMX917458 OWT917434:OWT917458 PGP917434:PGP917458 PQL917434:PQL917458 QAH917434:QAH917458 QKD917434:QKD917458 QTZ917434:QTZ917458 RDV917434:RDV917458 RNR917434:RNR917458 RXN917434:RXN917458 SHJ917434:SHJ917458 SRF917434:SRF917458 TBB917434:TBB917458 TKX917434:TKX917458 TUT917434:TUT917458 UEP917434:UEP917458 UOL917434:UOL917458 UYH917434:UYH917458 VID917434:VID917458 VRZ917434:VRZ917458 WBV917434:WBV917458 WLR917434:WLR917458 WVN917434:WVN917458 F983057:F983081 JB982970:JB982994 SX982970:SX982994 ACT982970:ACT982994 AMP982970:AMP982994 AWL982970:AWL982994 BGH982970:BGH982994 BQD982970:BQD982994 BZZ982970:BZZ982994 CJV982970:CJV982994 CTR982970:CTR982994 DDN982970:DDN982994 DNJ982970:DNJ982994 DXF982970:DXF982994 EHB982970:EHB982994 EQX982970:EQX982994 FAT982970:FAT982994 FKP982970:FKP982994 FUL982970:FUL982994 GEH982970:GEH982994 GOD982970:GOD982994 GXZ982970:GXZ982994 HHV982970:HHV982994 HRR982970:HRR982994 IBN982970:IBN982994 ILJ982970:ILJ982994 IVF982970:IVF982994 JFB982970:JFB982994 JOX982970:JOX982994 JYT982970:JYT982994 KIP982970:KIP982994 KSL982970:KSL982994 LCH982970:LCH982994 LMD982970:LMD982994 LVZ982970:LVZ982994 MFV982970:MFV982994 MPR982970:MPR982994 MZN982970:MZN982994 NJJ982970:NJJ982994 NTF982970:NTF982994 ODB982970:ODB982994 OMX982970:OMX982994 OWT982970:OWT982994 PGP982970:PGP982994 PQL982970:PQL982994 QAH982970:QAH982994 QKD982970:QKD982994 QTZ982970:QTZ982994 RDV982970:RDV982994 RNR982970:RNR982994 RXN982970:RXN982994 SHJ982970:SHJ982994 SRF982970:SRF982994 TBB982970:TBB982994 TKX982970:TKX982994 TUT982970:TUT982994 UEP982970:UEP982994 UOL982970:UOL982994 UYH982970:UYH982994 VID982970:VID982994 VRZ982970:VRZ982994 WBV982970:WBV982994 WLR982970:WLR982994 JA13:JA513 WVM13:WVM513 WLQ13:WLQ513 WBU13:WBU513 VRY13:VRY513 VIC13:VIC513 UYG13:UYG513 UOK13:UOK513 UEO13:UEO513 TUS13:TUS513 TKW13:TKW513 TBA13:TBA513 SRE13:SRE513 SHI13:SHI513 RXM13:RXM513 RNQ13:RNQ513 RDU13:RDU513 QTY13:QTY513 QKC13:QKC513 QAG13:QAG513 PQK13:PQK513 PGO13:PGO513 OWS13:OWS513 OMW13:OMW513 ODA13:ODA513 NTE13:NTE513 NJI13:NJI513 MZM13:MZM513 MPQ13:MPQ513 MFU13:MFU513 LVY13:LVY513 LMC13:LMC513 LCG13:LCG513 KSK13:KSK513 KIO13:KIO513 JYS13:JYS513 JOW13:JOW513 JFA13:JFA513 IVE13:IVE513 ILI13:ILI513 IBM13:IBM513 HRQ13:HRQ513 HHU13:HHU513 GXY13:GXY513 GOC13:GOC513 GEG13:GEG513 FUK13:FUK513 FKO13:FKO513 FAS13:FAS513 EQW13:EQW513 EHA13:EHA513 DXE13:DXE513 DNI13:DNI513 DDM13:DDM513 CTQ13:CTQ513 CJU13:CJU513 BZY13:BZY513 BQC13:BQC513 BGG13:BGG513 AWK13:AWK513 AMO13:AMO513 ACS13:ACS513 SW13:SW513 G13:G513" xr:uid="{00000000-0002-0000-0E00-00000F000000}"/>
    <dataValidation allowBlank="1" showInputMessage="1" showErrorMessage="1" prompt="For the service code in column &quot;C&quot; enter the begin date for the last 2 months of service during the review period and any month in which a break in service delivery took place" sqref="WVM982970:WVM982994 E65553:E65577 JA65466:JA65490 SW65466:SW65490 ACS65466:ACS65490 AMO65466:AMO65490 AWK65466:AWK65490 BGG65466:BGG65490 BQC65466:BQC65490 BZY65466:BZY65490 CJU65466:CJU65490 CTQ65466:CTQ65490 DDM65466:DDM65490 DNI65466:DNI65490 DXE65466:DXE65490 EHA65466:EHA65490 EQW65466:EQW65490 FAS65466:FAS65490 FKO65466:FKO65490 FUK65466:FUK65490 GEG65466:GEG65490 GOC65466:GOC65490 GXY65466:GXY65490 HHU65466:HHU65490 HRQ65466:HRQ65490 IBM65466:IBM65490 ILI65466:ILI65490 IVE65466:IVE65490 JFA65466:JFA65490 JOW65466:JOW65490 JYS65466:JYS65490 KIO65466:KIO65490 KSK65466:KSK65490 LCG65466:LCG65490 LMC65466:LMC65490 LVY65466:LVY65490 MFU65466:MFU65490 MPQ65466:MPQ65490 MZM65466:MZM65490 NJI65466:NJI65490 NTE65466:NTE65490 ODA65466:ODA65490 OMW65466:OMW65490 OWS65466:OWS65490 PGO65466:PGO65490 PQK65466:PQK65490 QAG65466:QAG65490 QKC65466:QKC65490 QTY65466:QTY65490 RDU65466:RDU65490 RNQ65466:RNQ65490 RXM65466:RXM65490 SHI65466:SHI65490 SRE65466:SRE65490 TBA65466:TBA65490 TKW65466:TKW65490 TUS65466:TUS65490 UEO65466:UEO65490 UOK65466:UOK65490 UYG65466:UYG65490 VIC65466:VIC65490 VRY65466:VRY65490 WBU65466:WBU65490 WLQ65466:WLQ65490 WVM65466:WVM65490 E131089:E131113 JA131002:JA131026 SW131002:SW131026 ACS131002:ACS131026 AMO131002:AMO131026 AWK131002:AWK131026 BGG131002:BGG131026 BQC131002:BQC131026 BZY131002:BZY131026 CJU131002:CJU131026 CTQ131002:CTQ131026 DDM131002:DDM131026 DNI131002:DNI131026 DXE131002:DXE131026 EHA131002:EHA131026 EQW131002:EQW131026 FAS131002:FAS131026 FKO131002:FKO131026 FUK131002:FUK131026 GEG131002:GEG131026 GOC131002:GOC131026 GXY131002:GXY131026 HHU131002:HHU131026 HRQ131002:HRQ131026 IBM131002:IBM131026 ILI131002:ILI131026 IVE131002:IVE131026 JFA131002:JFA131026 JOW131002:JOW131026 JYS131002:JYS131026 KIO131002:KIO131026 KSK131002:KSK131026 LCG131002:LCG131026 LMC131002:LMC131026 LVY131002:LVY131026 MFU131002:MFU131026 MPQ131002:MPQ131026 MZM131002:MZM131026 NJI131002:NJI131026 NTE131002:NTE131026 ODA131002:ODA131026 OMW131002:OMW131026 OWS131002:OWS131026 PGO131002:PGO131026 PQK131002:PQK131026 QAG131002:QAG131026 QKC131002:QKC131026 QTY131002:QTY131026 RDU131002:RDU131026 RNQ131002:RNQ131026 RXM131002:RXM131026 SHI131002:SHI131026 SRE131002:SRE131026 TBA131002:TBA131026 TKW131002:TKW131026 TUS131002:TUS131026 UEO131002:UEO131026 UOK131002:UOK131026 UYG131002:UYG131026 VIC131002:VIC131026 VRY131002:VRY131026 WBU131002:WBU131026 WLQ131002:WLQ131026 WVM131002:WVM131026 E196625:E196649 JA196538:JA196562 SW196538:SW196562 ACS196538:ACS196562 AMO196538:AMO196562 AWK196538:AWK196562 BGG196538:BGG196562 BQC196538:BQC196562 BZY196538:BZY196562 CJU196538:CJU196562 CTQ196538:CTQ196562 DDM196538:DDM196562 DNI196538:DNI196562 DXE196538:DXE196562 EHA196538:EHA196562 EQW196538:EQW196562 FAS196538:FAS196562 FKO196538:FKO196562 FUK196538:FUK196562 GEG196538:GEG196562 GOC196538:GOC196562 GXY196538:GXY196562 HHU196538:HHU196562 HRQ196538:HRQ196562 IBM196538:IBM196562 ILI196538:ILI196562 IVE196538:IVE196562 JFA196538:JFA196562 JOW196538:JOW196562 JYS196538:JYS196562 KIO196538:KIO196562 KSK196538:KSK196562 LCG196538:LCG196562 LMC196538:LMC196562 LVY196538:LVY196562 MFU196538:MFU196562 MPQ196538:MPQ196562 MZM196538:MZM196562 NJI196538:NJI196562 NTE196538:NTE196562 ODA196538:ODA196562 OMW196538:OMW196562 OWS196538:OWS196562 PGO196538:PGO196562 PQK196538:PQK196562 QAG196538:QAG196562 QKC196538:QKC196562 QTY196538:QTY196562 RDU196538:RDU196562 RNQ196538:RNQ196562 RXM196538:RXM196562 SHI196538:SHI196562 SRE196538:SRE196562 TBA196538:TBA196562 TKW196538:TKW196562 TUS196538:TUS196562 UEO196538:UEO196562 UOK196538:UOK196562 UYG196538:UYG196562 VIC196538:VIC196562 VRY196538:VRY196562 WBU196538:WBU196562 WLQ196538:WLQ196562 WVM196538:WVM196562 E262161:E262185 JA262074:JA262098 SW262074:SW262098 ACS262074:ACS262098 AMO262074:AMO262098 AWK262074:AWK262098 BGG262074:BGG262098 BQC262074:BQC262098 BZY262074:BZY262098 CJU262074:CJU262098 CTQ262074:CTQ262098 DDM262074:DDM262098 DNI262074:DNI262098 DXE262074:DXE262098 EHA262074:EHA262098 EQW262074:EQW262098 FAS262074:FAS262098 FKO262074:FKO262098 FUK262074:FUK262098 GEG262074:GEG262098 GOC262074:GOC262098 GXY262074:GXY262098 HHU262074:HHU262098 HRQ262074:HRQ262098 IBM262074:IBM262098 ILI262074:ILI262098 IVE262074:IVE262098 JFA262074:JFA262098 JOW262074:JOW262098 JYS262074:JYS262098 KIO262074:KIO262098 KSK262074:KSK262098 LCG262074:LCG262098 LMC262074:LMC262098 LVY262074:LVY262098 MFU262074:MFU262098 MPQ262074:MPQ262098 MZM262074:MZM262098 NJI262074:NJI262098 NTE262074:NTE262098 ODA262074:ODA262098 OMW262074:OMW262098 OWS262074:OWS262098 PGO262074:PGO262098 PQK262074:PQK262098 QAG262074:QAG262098 QKC262074:QKC262098 QTY262074:QTY262098 RDU262074:RDU262098 RNQ262074:RNQ262098 RXM262074:RXM262098 SHI262074:SHI262098 SRE262074:SRE262098 TBA262074:TBA262098 TKW262074:TKW262098 TUS262074:TUS262098 UEO262074:UEO262098 UOK262074:UOK262098 UYG262074:UYG262098 VIC262074:VIC262098 VRY262074:VRY262098 WBU262074:WBU262098 WLQ262074:WLQ262098 WVM262074:WVM262098 E327697:E327721 JA327610:JA327634 SW327610:SW327634 ACS327610:ACS327634 AMO327610:AMO327634 AWK327610:AWK327634 BGG327610:BGG327634 BQC327610:BQC327634 BZY327610:BZY327634 CJU327610:CJU327634 CTQ327610:CTQ327634 DDM327610:DDM327634 DNI327610:DNI327634 DXE327610:DXE327634 EHA327610:EHA327634 EQW327610:EQW327634 FAS327610:FAS327634 FKO327610:FKO327634 FUK327610:FUK327634 GEG327610:GEG327634 GOC327610:GOC327634 GXY327610:GXY327634 HHU327610:HHU327634 HRQ327610:HRQ327634 IBM327610:IBM327634 ILI327610:ILI327634 IVE327610:IVE327634 JFA327610:JFA327634 JOW327610:JOW327634 JYS327610:JYS327634 KIO327610:KIO327634 KSK327610:KSK327634 LCG327610:LCG327634 LMC327610:LMC327634 LVY327610:LVY327634 MFU327610:MFU327634 MPQ327610:MPQ327634 MZM327610:MZM327634 NJI327610:NJI327634 NTE327610:NTE327634 ODA327610:ODA327634 OMW327610:OMW327634 OWS327610:OWS327634 PGO327610:PGO327634 PQK327610:PQK327634 QAG327610:QAG327634 QKC327610:QKC327634 QTY327610:QTY327634 RDU327610:RDU327634 RNQ327610:RNQ327634 RXM327610:RXM327634 SHI327610:SHI327634 SRE327610:SRE327634 TBA327610:TBA327634 TKW327610:TKW327634 TUS327610:TUS327634 UEO327610:UEO327634 UOK327610:UOK327634 UYG327610:UYG327634 VIC327610:VIC327634 VRY327610:VRY327634 WBU327610:WBU327634 WLQ327610:WLQ327634 WVM327610:WVM327634 E393233:E393257 JA393146:JA393170 SW393146:SW393170 ACS393146:ACS393170 AMO393146:AMO393170 AWK393146:AWK393170 BGG393146:BGG393170 BQC393146:BQC393170 BZY393146:BZY393170 CJU393146:CJU393170 CTQ393146:CTQ393170 DDM393146:DDM393170 DNI393146:DNI393170 DXE393146:DXE393170 EHA393146:EHA393170 EQW393146:EQW393170 FAS393146:FAS393170 FKO393146:FKO393170 FUK393146:FUK393170 GEG393146:GEG393170 GOC393146:GOC393170 GXY393146:GXY393170 HHU393146:HHU393170 HRQ393146:HRQ393170 IBM393146:IBM393170 ILI393146:ILI393170 IVE393146:IVE393170 JFA393146:JFA393170 JOW393146:JOW393170 JYS393146:JYS393170 KIO393146:KIO393170 KSK393146:KSK393170 LCG393146:LCG393170 LMC393146:LMC393170 LVY393146:LVY393170 MFU393146:MFU393170 MPQ393146:MPQ393170 MZM393146:MZM393170 NJI393146:NJI393170 NTE393146:NTE393170 ODA393146:ODA393170 OMW393146:OMW393170 OWS393146:OWS393170 PGO393146:PGO393170 PQK393146:PQK393170 QAG393146:QAG393170 QKC393146:QKC393170 QTY393146:QTY393170 RDU393146:RDU393170 RNQ393146:RNQ393170 RXM393146:RXM393170 SHI393146:SHI393170 SRE393146:SRE393170 TBA393146:TBA393170 TKW393146:TKW393170 TUS393146:TUS393170 UEO393146:UEO393170 UOK393146:UOK393170 UYG393146:UYG393170 VIC393146:VIC393170 VRY393146:VRY393170 WBU393146:WBU393170 WLQ393146:WLQ393170 WVM393146:WVM393170 E458769:E458793 JA458682:JA458706 SW458682:SW458706 ACS458682:ACS458706 AMO458682:AMO458706 AWK458682:AWK458706 BGG458682:BGG458706 BQC458682:BQC458706 BZY458682:BZY458706 CJU458682:CJU458706 CTQ458682:CTQ458706 DDM458682:DDM458706 DNI458682:DNI458706 DXE458682:DXE458706 EHA458682:EHA458706 EQW458682:EQW458706 FAS458682:FAS458706 FKO458682:FKO458706 FUK458682:FUK458706 GEG458682:GEG458706 GOC458682:GOC458706 GXY458682:GXY458706 HHU458682:HHU458706 HRQ458682:HRQ458706 IBM458682:IBM458706 ILI458682:ILI458706 IVE458682:IVE458706 JFA458682:JFA458706 JOW458682:JOW458706 JYS458682:JYS458706 KIO458682:KIO458706 KSK458682:KSK458706 LCG458682:LCG458706 LMC458682:LMC458706 LVY458682:LVY458706 MFU458682:MFU458706 MPQ458682:MPQ458706 MZM458682:MZM458706 NJI458682:NJI458706 NTE458682:NTE458706 ODA458682:ODA458706 OMW458682:OMW458706 OWS458682:OWS458706 PGO458682:PGO458706 PQK458682:PQK458706 QAG458682:QAG458706 QKC458682:QKC458706 QTY458682:QTY458706 RDU458682:RDU458706 RNQ458682:RNQ458706 RXM458682:RXM458706 SHI458682:SHI458706 SRE458682:SRE458706 TBA458682:TBA458706 TKW458682:TKW458706 TUS458682:TUS458706 UEO458682:UEO458706 UOK458682:UOK458706 UYG458682:UYG458706 VIC458682:VIC458706 VRY458682:VRY458706 WBU458682:WBU458706 WLQ458682:WLQ458706 WVM458682:WVM458706 E524305:E524329 JA524218:JA524242 SW524218:SW524242 ACS524218:ACS524242 AMO524218:AMO524242 AWK524218:AWK524242 BGG524218:BGG524242 BQC524218:BQC524242 BZY524218:BZY524242 CJU524218:CJU524242 CTQ524218:CTQ524242 DDM524218:DDM524242 DNI524218:DNI524242 DXE524218:DXE524242 EHA524218:EHA524242 EQW524218:EQW524242 FAS524218:FAS524242 FKO524218:FKO524242 FUK524218:FUK524242 GEG524218:GEG524242 GOC524218:GOC524242 GXY524218:GXY524242 HHU524218:HHU524242 HRQ524218:HRQ524242 IBM524218:IBM524242 ILI524218:ILI524242 IVE524218:IVE524242 JFA524218:JFA524242 JOW524218:JOW524242 JYS524218:JYS524242 KIO524218:KIO524242 KSK524218:KSK524242 LCG524218:LCG524242 LMC524218:LMC524242 LVY524218:LVY524242 MFU524218:MFU524242 MPQ524218:MPQ524242 MZM524218:MZM524242 NJI524218:NJI524242 NTE524218:NTE524242 ODA524218:ODA524242 OMW524218:OMW524242 OWS524218:OWS524242 PGO524218:PGO524242 PQK524218:PQK524242 QAG524218:QAG524242 QKC524218:QKC524242 QTY524218:QTY524242 RDU524218:RDU524242 RNQ524218:RNQ524242 RXM524218:RXM524242 SHI524218:SHI524242 SRE524218:SRE524242 TBA524218:TBA524242 TKW524218:TKW524242 TUS524218:TUS524242 UEO524218:UEO524242 UOK524218:UOK524242 UYG524218:UYG524242 VIC524218:VIC524242 VRY524218:VRY524242 WBU524218:WBU524242 WLQ524218:WLQ524242 WVM524218:WVM524242 E589841:E589865 JA589754:JA589778 SW589754:SW589778 ACS589754:ACS589778 AMO589754:AMO589778 AWK589754:AWK589778 BGG589754:BGG589778 BQC589754:BQC589778 BZY589754:BZY589778 CJU589754:CJU589778 CTQ589754:CTQ589778 DDM589754:DDM589778 DNI589754:DNI589778 DXE589754:DXE589778 EHA589754:EHA589778 EQW589754:EQW589778 FAS589754:FAS589778 FKO589754:FKO589778 FUK589754:FUK589778 GEG589754:GEG589778 GOC589754:GOC589778 GXY589754:GXY589778 HHU589754:HHU589778 HRQ589754:HRQ589778 IBM589754:IBM589778 ILI589754:ILI589778 IVE589754:IVE589778 JFA589754:JFA589778 JOW589754:JOW589778 JYS589754:JYS589778 KIO589754:KIO589778 KSK589754:KSK589778 LCG589754:LCG589778 LMC589754:LMC589778 LVY589754:LVY589778 MFU589754:MFU589778 MPQ589754:MPQ589778 MZM589754:MZM589778 NJI589754:NJI589778 NTE589754:NTE589778 ODA589754:ODA589778 OMW589754:OMW589778 OWS589754:OWS589778 PGO589754:PGO589778 PQK589754:PQK589778 QAG589754:QAG589778 QKC589754:QKC589778 QTY589754:QTY589778 RDU589754:RDU589778 RNQ589754:RNQ589778 RXM589754:RXM589778 SHI589754:SHI589778 SRE589754:SRE589778 TBA589754:TBA589778 TKW589754:TKW589778 TUS589754:TUS589778 UEO589754:UEO589778 UOK589754:UOK589778 UYG589754:UYG589778 VIC589754:VIC589778 VRY589754:VRY589778 WBU589754:WBU589778 WLQ589754:WLQ589778 WVM589754:WVM589778 E655377:E655401 JA655290:JA655314 SW655290:SW655314 ACS655290:ACS655314 AMO655290:AMO655314 AWK655290:AWK655314 BGG655290:BGG655314 BQC655290:BQC655314 BZY655290:BZY655314 CJU655290:CJU655314 CTQ655290:CTQ655314 DDM655290:DDM655314 DNI655290:DNI655314 DXE655290:DXE655314 EHA655290:EHA655314 EQW655290:EQW655314 FAS655290:FAS655314 FKO655290:FKO655314 FUK655290:FUK655314 GEG655290:GEG655314 GOC655290:GOC655314 GXY655290:GXY655314 HHU655290:HHU655314 HRQ655290:HRQ655314 IBM655290:IBM655314 ILI655290:ILI655314 IVE655290:IVE655314 JFA655290:JFA655314 JOW655290:JOW655314 JYS655290:JYS655314 KIO655290:KIO655314 KSK655290:KSK655314 LCG655290:LCG655314 LMC655290:LMC655314 LVY655290:LVY655314 MFU655290:MFU655314 MPQ655290:MPQ655314 MZM655290:MZM655314 NJI655290:NJI655314 NTE655290:NTE655314 ODA655290:ODA655314 OMW655290:OMW655314 OWS655290:OWS655314 PGO655290:PGO655314 PQK655290:PQK655314 QAG655290:QAG655314 QKC655290:QKC655314 QTY655290:QTY655314 RDU655290:RDU655314 RNQ655290:RNQ655314 RXM655290:RXM655314 SHI655290:SHI655314 SRE655290:SRE655314 TBA655290:TBA655314 TKW655290:TKW655314 TUS655290:TUS655314 UEO655290:UEO655314 UOK655290:UOK655314 UYG655290:UYG655314 VIC655290:VIC655314 VRY655290:VRY655314 WBU655290:WBU655314 WLQ655290:WLQ655314 WVM655290:WVM655314 E720913:E720937 JA720826:JA720850 SW720826:SW720850 ACS720826:ACS720850 AMO720826:AMO720850 AWK720826:AWK720850 BGG720826:BGG720850 BQC720826:BQC720850 BZY720826:BZY720850 CJU720826:CJU720850 CTQ720826:CTQ720850 DDM720826:DDM720850 DNI720826:DNI720850 DXE720826:DXE720850 EHA720826:EHA720850 EQW720826:EQW720850 FAS720826:FAS720850 FKO720826:FKO720850 FUK720826:FUK720850 GEG720826:GEG720850 GOC720826:GOC720850 GXY720826:GXY720850 HHU720826:HHU720850 HRQ720826:HRQ720850 IBM720826:IBM720850 ILI720826:ILI720850 IVE720826:IVE720850 JFA720826:JFA720850 JOW720826:JOW720850 JYS720826:JYS720850 KIO720826:KIO720850 KSK720826:KSK720850 LCG720826:LCG720850 LMC720826:LMC720850 LVY720826:LVY720850 MFU720826:MFU720850 MPQ720826:MPQ720850 MZM720826:MZM720850 NJI720826:NJI720850 NTE720826:NTE720850 ODA720826:ODA720850 OMW720826:OMW720850 OWS720826:OWS720850 PGO720826:PGO720850 PQK720826:PQK720850 QAG720826:QAG720850 QKC720826:QKC720850 QTY720826:QTY720850 RDU720826:RDU720850 RNQ720826:RNQ720850 RXM720826:RXM720850 SHI720826:SHI720850 SRE720826:SRE720850 TBA720826:TBA720850 TKW720826:TKW720850 TUS720826:TUS720850 UEO720826:UEO720850 UOK720826:UOK720850 UYG720826:UYG720850 VIC720826:VIC720850 VRY720826:VRY720850 WBU720826:WBU720850 WLQ720826:WLQ720850 WVM720826:WVM720850 E786449:E786473 JA786362:JA786386 SW786362:SW786386 ACS786362:ACS786386 AMO786362:AMO786386 AWK786362:AWK786386 BGG786362:BGG786386 BQC786362:BQC786386 BZY786362:BZY786386 CJU786362:CJU786386 CTQ786362:CTQ786386 DDM786362:DDM786386 DNI786362:DNI786386 DXE786362:DXE786386 EHA786362:EHA786386 EQW786362:EQW786386 FAS786362:FAS786386 FKO786362:FKO786386 FUK786362:FUK786386 GEG786362:GEG786386 GOC786362:GOC786386 GXY786362:GXY786386 HHU786362:HHU786386 HRQ786362:HRQ786386 IBM786362:IBM786386 ILI786362:ILI786386 IVE786362:IVE786386 JFA786362:JFA786386 JOW786362:JOW786386 JYS786362:JYS786386 KIO786362:KIO786386 KSK786362:KSK786386 LCG786362:LCG786386 LMC786362:LMC786386 LVY786362:LVY786386 MFU786362:MFU786386 MPQ786362:MPQ786386 MZM786362:MZM786386 NJI786362:NJI786386 NTE786362:NTE786386 ODA786362:ODA786386 OMW786362:OMW786386 OWS786362:OWS786386 PGO786362:PGO786386 PQK786362:PQK786386 QAG786362:QAG786386 QKC786362:QKC786386 QTY786362:QTY786386 RDU786362:RDU786386 RNQ786362:RNQ786386 RXM786362:RXM786386 SHI786362:SHI786386 SRE786362:SRE786386 TBA786362:TBA786386 TKW786362:TKW786386 TUS786362:TUS786386 UEO786362:UEO786386 UOK786362:UOK786386 UYG786362:UYG786386 VIC786362:VIC786386 VRY786362:VRY786386 WBU786362:WBU786386 WLQ786362:WLQ786386 WVM786362:WVM786386 E851985:E852009 JA851898:JA851922 SW851898:SW851922 ACS851898:ACS851922 AMO851898:AMO851922 AWK851898:AWK851922 BGG851898:BGG851922 BQC851898:BQC851922 BZY851898:BZY851922 CJU851898:CJU851922 CTQ851898:CTQ851922 DDM851898:DDM851922 DNI851898:DNI851922 DXE851898:DXE851922 EHA851898:EHA851922 EQW851898:EQW851922 FAS851898:FAS851922 FKO851898:FKO851922 FUK851898:FUK851922 GEG851898:GEG851922 GOC851898:GOC851922 GXY851898:GXY851922 HHU851898:HHU851922 HRQ851898:HRQ851922 IBM851898:IBM851922 ILI851898:ILI851922 IVE851898:IVE851922 JFA851898:JFA851922 JOW851898:JOW851922 JYS851898:JYS851922 KIO851898:KIO851922 KSK851898:KSK851922 LCG851898:LCG851922 LMC851898:LMC851922 LVY851898:LVY851922 MFU851898:MFU851922 MPQ851898:MPQ851922 MZM851898:MZM851922 NJI851898:NJI851922 NTE851898:NTE851922 ODA851898:ODA851922 OMW851898:OMW851922 OWS851898:OWS851922 PGO851898:PGO851922 PQK851898:PQK851922 QAG851898:QAG851922 QKC851898:QKC851922 QTY851898:QTY851922 RDU851898:RDU851922 RNQ851898:RNQ851922 RXM851898:RXM851922 SHI851898:SHI851922 SRE851898:SRE851922 TBA851898:TBA851922 TKW851898:TKW851922 TUS851898:TUS851922 UEO851898:UEO851922 UOK851898:UOK851922 UYG851898:UYG851922 VIC851898:VIC851922 VRY851898:VRY851922 WBU851898:WBU851922 WLQ851898:WLQ851922 WVM851898:WVM851922 E917521:E917545 JA917434:JA917458 SW917434:SW917458 ACS917434:ACS917458 AMO917434:AMO917458 AWK917434:AWK917458 BGG917434:BGG917458 BQC917434:BQC917458 BZY917434:BZY917458 CJU917434:CJU917458 CTQ917434:CTQ917458 DDM917434:DDM917458 DNI917434:DNI917458 DXE917434:DXE917458 EHA917434:EHA917458 EQW917434:EQW917458 FAS917434:FAS917458 FKO917434:FKO917458 FUK917434:FUK917458 GEG917434:GEG917458 GOC917434:GOC917458 GXY917434:GXY917458 HHU917434:HHU917458 HRQ917434:HRQ917458 IBM917434:IBM917458 ILI917434:ILI917458 IVE917434:IVE917458 JFA917434:JFA917458 JOW917434:JOW917458 JYS917434:JYS917458 KIO917434:KIO917458 KSK917434:KSK917458 LCG917434:LCG917458 LMC917434:LMC917458 LVY917434:LVY917458 MFU917434:MFU917458 MPQ917434:MPQ917458 MZM917434:MZM917458 NJI917434:NJI917458 NTE917434:NTE917458 ODA917434:ODA917458 OMW917434:OMW917458 OWS917434:OWS917458 PGO917434:PGO917458 PQK917434:PQK917458 QAG917434:QAG917458 QKC917434:QKC917458 QTY917434:QTY917458 RDU917434:RDU917458 RNQ917434:RNQ917458 RXM917434:RXM917458 SHI917434:SHI917458 SRE917434:SRE917458 TBA917434:TBA917458 TKW917434:TKW917458 TUS917434:TUS917458 UEO917434:UEO917458 UOK917434:UOK917458 UYG917434:UYG917458 VIC917434:VIC917458 VRY917434:VRY917458 WBU917434:WBU917458 WLQ917434:WLQ917458 WVM917434:WVM917458 E983057:E983081 JA982970:JA982994 SW982970:SW982994 ACS982970:ACS982994 AMO982970:AMO982994 AWK982970:AWK982994 BGG982970:BGG982994 BQC982970:BQC982994 BZY982970:BZY982994 CJU982970:CJU982994 CTQ982970:CTQ982994 DDM982970:DDM982994 DNI982970:DNI982994 DXE982970:DXE982994 EHA982970:EHA982994 EQW982970:EQW982994 FAS982970:FAS982994 FKO982970:FKO982994 FUK982970:FUK982994 GEG982970:GEG982994 GOC982970:GOC982994 GXY982970:GXY982994 HHU982970:HHU982994 HRQ982970:HRQ982994 IBM982970:IBM982994 ILI982970:ILI982994 IVE982970:IVE982994 JFA982970:JFA982994 JOW982970:JOW982994 JYS982970:JYS982994 KIO982970:KIO982994 KSK982970:KSK982994 LCG982970:LCG982994 LMC982970:LMC982994 LVY982970:LVY982994 MFU982970:MFU982994 MPQ982970:MPQ982994 MZM982970:MZM982994 NJI982970:NJI982994 NTE982970:NTE982994 ODA982970:ODA982994 OMW982970:OMW982994 OWS982970:OWS982994 PGO982970:PGO982994 PQK982970:PQK982994 QAG982970:QAG982994 QKC982970:QKC982994 QTY982970:QTY982994 RDU982970:RDU982994 RNQ982970:RNQ982994 RXM982970:RXM982994 SHI982970:SHI982994 SRE982970:SRE982994 TBA982970:TBA982994 TKW982970:TKW982994 TUS982970:TUS982994 UEO982970:UEO982994 UOK982970:UOK982994 UYG982970:UYG982994 VIC982970:VIC982994 VRY982970:VRY982994 WBU982970:WBU982994 WLQ982970:WLQ982994 IZ13:IZ513 WVL13:WVL513 WLP13:WLP513 WBT13:WBT513 VRX13:VRX513 VIB13:VIB513 UYF13:UYF513 UOJ13:UOJ513 UEN13:UEN513 TUR13:TUR513 TKV13:TKV513 TAZ13:TAZ513 SRD13:SRD513 SHH13:SHH513 RXL13:RXL513 RNP13:RNP513 RDT13:RDT513 QTX13:QTX513 QKB13:QKB513 QAF13:QAF513 PQJ13:PQJ513 PGN13:PGN513 OWR13:OWR513 OMV13:OMV513 OCZ13:OCZ513 NTD13:NTD513 NJH13:NJH513 MZL13:MZL513 MPP13:MPP513 MFT13:MFT513 LVX13:LVX513 LMB13:LMB513 LCF13:LCF513 KSJ13:KSJ513 KIN13:KIN513 JYR13:JYR513 JOV13:JOV513 JEZ13:JEZ513 IVD13:IVD513 ILH13:ILH513 IBL13:IBL513 HRP13:HRP513 HHT13:HHT513 GXX13:GXX513 GOB13:GOB513 GEF13:GEF513 FUJ13:FUJ513 FKN13:FKN513 FAR13:FAR513 EQV13:EQV513 EGZ13:EGZ513 DXD13:DXD513 DNH13:DNH513 DDL13:DDL513 CTP13:CTP513 CJT13:CJT513 BZX13:BZX513 BQB13:BQB513 BGF13:BGF513 AWJ13:AWJ513 AMN13:AMN513 ACR13:ACR513 SV13:SV513 F13:F513" xr:uid="{00000000-0002-0000-0E00-000010000000}"/>
    <dataValidation allowBlank="1" showInputMessage="1" showErrorMessage="1" prompt="Enter applicable service code: 19,19Y,19W, 19A,19AY,19AW, 19B,19BY,19BW, 19C,19CY,19CW, 19I, 19J, 19K, 19L, 19N or 19O" sqref="WVL982970:WVL982994 D65553:D65577 IZ65466:IZ65490 SV65466:SV65490 ACR65466:ACR65490 AMN65466:AMN65490 AWJ65466:AWJ65490 BGF65466:BGF65490 BQB65466:BQB65490 BZX65466:BZX65490 CJT65466:CJT65490 CTP65466:CTP65490 DDL65466:DDL65490 DNH65466:DNH65490 DXD65466:DXD65490 EGZ65466:EGZ65490 EQV65466:EQV65490 FAR65466:FAR65490 FKN65466:FKN65490 FUJ65466:FUJ65490 GEF65466:GEF65490 GOB65466:GOB65490 GXX65466:GXX65490 HHT65466:HHT65490 HRP65466:HRP65490 IBL65466:IBL65490 ILH65466:ILH65490 IVD65466:IVD65490 JEZ65466:JEZ65490 JOV65466:JOV65490 JYR65466:JYR65490 KIN65466:KIN65490 KSJ65466:KSJ65490 LCF65466:LCF65490 LMB65466:LMB65490 LVX65466:LVX65490 MFT65466:MFT65490 MPP65466:MPP65490 MZL65466:MZL65490 NJH65466:NJH65490 NTD65466:NTD65490 OCZ65466:OCZ65490 OMV65466:OMV65490 OWR65466:OWR65490 PGN65466:PGN65490 PQJ65466:PQJ65490 QAF65466:QAF65490 QKB65466:QKB65490 QTX65466:QTX65490 RDT65466:RDT65490 RNP65466:RNP65490 RXL65466:RXL65490 SHH65466:SHH65490 SRD65466:SRD65490 TAZ65466:TAZ65490 TKV65466:TKV65490 TUR65466:TUR65490 UEN65466:UEN65490 UOJ65466:UOJ65490 UYF65466:UYF65490 VIB65466:VIB65490 VRX65466:VRX65490 WBT65466:WBT65490 WLP65466:WLP65490 WVL65466:WVL65490 D131089:D131113 IZ131002:IZ131026 SV131002:SV131026 ACR131002:ACR131026 AMN131002:AMN131026 AWJ131002:AWJ131026 BGF131002:BGF131026 BQB131002:BQB131026 BZX131002:BZX131026 CJT131002:CJT131026 CTP131002:CTP131026 DDL131002:DDL131026 DNH131002:DNH131026 DXD131002:DXD131026 EGZ131002:EGZ131026 EQV131002:EQV131026 FAR131002:FAR131026 FKN131002:FKN131026 FUJ131002:FUJ131026 GEF131002:GEF131026 GOB131002:GOB131026 GXX131002:GXX131026 HHT131002:HHT131026 HRP131002:HRP131026 IBL131002:IBL131026 ILH131002:ILH131026 IVD131002:IVD131026 JEZ131002:JEZ131026 JOV131002:JOV131026 JYR131002:JYR131026 KIN131002:KIN131026 KSJ131002:KSJ131026 LCF131002:LCF131026 LMB131002:LMB131026 LVX131002:LVX131026 MFT131002:MFT131026 MPP131002:MPP131026 MZL131002:MZL131026 NJH131002:NJH131026 NTD131002:NTD131026 OCZ131002:OCZ131026 OMV131002:OMV131026 OWR131002:OWR131026 PGN131002:PGN131026 PQJ131002:PQJ131026 QAF131002:QAF131026 QKB131002:QKB131026 QTX131002:QTX131026 RDT131002:RDT131026 RNP131002:RNP131026 RXL131002:RXL131026 SHH131002:SHH131026 SRD131002:SRD131026 TAZ131002:TAZ131026 TKV131002:TKV131026 TUR131002:TUR131026 UEN131002:UEN131026 UOJ131002:UOJ131026 UYF131002:UYF131026 VIB131002:VIB131026 VRX131002:VRX131026 WBT131002:WBT131026 WLP131002:WLP131026 WVL131002:WVL131026 D196625:D196649 IZ196538:IZ196562 SV196538:SV196562 ACR196538:ACR196562 AMN196538:AMN196562 AWJ196538:AWJ196562 BGF196538:BGF196562 BQB196538:BQB196562 BZX196538:BZX196562 CJT196538:CJT196562 CTP196538:CTP196562 DDL196538:DDL196562 DNH196538:DNH196562 DXD196538:DXD196562 EGZ196538:EGZ196562 EQV196538:EQV196562 FAR196538:FAR196562 FKN196538:FKN196562 FUJ196538:FUJ196562 GEF196538:GEF196562 GOB196538:GOB196562 GXX196538:GXX196562 HHT196538:HHT196562 HRP196538:HRP196562 IBL196538:IBL196562 ILH196538:ILH196562 IVD196538:IVD196562 JEZ196538:JEZ196562 JOV196538:JOV196562 JYR196538:JYR196562 KIN196538:KIN196562 KSJ196538:KSJ196562 LCF196538:LCF196562 LMB196538:LMB196562 LVX196538:LVX196562 MFT196538:MFT196562 MPP196538:MPP196562 MZL196538:MZL196562 NJH196538:NJH196562 NTD196538:NTD196562 OCZ196538:OCZ196562 OMV196538:OMV196562 OWR196538:OWR196562 PGN196538:PGN196562 PQJ196538:PQJ196562 QAF196538:QAF196562 QKB196538:QKB196562 QTX196538:QTX196562 RDT196538:RDT196562 RNP196538:RNP196562 RXL196538:RXL196562 SHH196538:SHH196562 SRD196538:SRD196562 TAZ196538:TAZ196562 TKV196538:TKV196562 TUR196538:TUR196562 UEN196538:UEN196562 UOJ196538:UOJ196562 UYF196538:UYF196562 VIB196538:VIB196562 VRX196538:VRX196562 WBT196538:WBT196562 WLP196538:WLP196562 WVL196538:WVL196562 D262161:D262185 IZ262074:IZ262098 SV262074:SV262098 ACR262074:ACR262098 AMN262074:AMN262098 AWJ262074:AWJ262098 BGF262074:BGF262098 BQB262074:BQB262098 BZX262074:BZX262098 CJT262074:CJT262098 CTP262074:CTP262098 DDL262074:DDL262098 DNH262074:DNH262098 DXD262074:DXD262098 EGZ262074:EGZ262098 EQV262074:EQV262098 FAR262074:FAR262098 FKN262074:FKN262098 FUJ262074:FUJ262098 GEF262074:GEF262098 GOB262074:GOB262098 GXX262074:GXX262098 HHT262074:HHT262098 HRP262074:HRP262098 IBL262074:IBL262098 ILH262074:ILH262098 IVD262074:IVD262098 JEZ262074:JEZ262098 JOV262074:JOV262098 JYR262074:JYR262098 KIN262074:KIN262098 KSJ262074:KSJ262098 LCF262074:LCF262098 LMB262074:LMB262098 LVX262074:LVX262098 MFT262074:MFT262098 MPP262074:MPP262098 MZL262074:MZL262098 NJH262074:NJH262098 NTD262074:NTD262098 OCZ262074:OCZ262098 OMV262074:OMV262098 OWR262074:OWR262098 PGN262074:PGN262098 PQJ262074:PQJ262098 QAF262074:QAF262098 QKB262074:QKB262098 QTX262074:QTX262098 RDT262074:RDT262098 RNP262074:RNP262098 RXL262074:RXL262098 SHH262074:SHH262098 SRD262074:SRD262098 TAZ262074:TAZ262098 TKV262074:TKV262098 TUR262074:TUR262098 UEN262074:UEN262098 UOJ262074:UOJ262098 UYF262074:UYF262098 VIB262074:VIB262098 VRX262074:VRX262098 WBT262074:WBT262098 WLP262074:WLP262098 WVL262074:WVL262098 D327697:D327721 IZ327610:IZ327634 SV327610:SV327634 ACR327610:ACR327634 AMN327610:AMN327634 AWJ327610:AWJ327634 BGF327610:BGF327634 BQB327610:BQB327634 BZX327610:BZX327634 CJT327610:CJT327634 CTP327610:CTP327634 DDL327610:DDL327634 DNH327610:DNH327634 DXD327610:DXD327634 EGZ327610:EGZ327634 EQV327610:EQV327634 FAR327610:FAR327634 FKN327610:FKN327634 FUJ327610:FUJ327634 GEF327610:GEF327634 GOB327610:GOB327634 GXX327610:GXX327634 HHT327610:HHT327634 HRP327610:HRP327634 IBL327610:IBL327634 ILH327610:ILH327634 IVD327610:IVD327634 JEZ327610:JEZ327634 JOV327610:JOV327634 JYR327610:JYR327634 KIN327610:KIN327634 KSJ327610:KSJ327634 LCF327610:LCF327634 LMB327610:LMB327634 LVX327610:LVX327634 MFT327610:MFT327634 MPP327610:MPP327634 MZL327610:MZL327634 NJH327610:NJH327634 NTD327610:NTD327634 OCZ327610:OCZ327634 OMV327610:OMV327634 OWR327610:OWR327634 PGN327610:PGN327634 PQJ327610:PQJ327634 QAF327610:QAF327634 QKB327610:QKB327634 QTX327610:QTX327634 RDT327610:RDT327634 RNP327610:RNP327634 RXL327610:RXL327634 SHH327610:SHH327634 SRD327610:SRD327634 TAZ327610:TAZ327634 TKV327610:TKV327634 TUR327610:TUR327634 UEN327610:UEN327634 UOJ327610:UOJ327634 UYF327610:UYF327634 VIB327610:VIB327634 VRX327610:VRX327634 WBT327610:WBT327634 WLP327610:WLP327634 WVL327610:WVL327634 D393233:D393257 IZ393146:IZ393170 SV393146:SV393170 ACR393146:ACR393170 AMN393146:AMN393170 AWJ393146:AWJ393170 BGF393146:BGF393170 BQB393146:BQB393170 BZX393146:BZX393170 CJT393146:CJT393170 CTP393146:CTP393170 DDL393146:DDL393170 DNH393146:DNH393170 DXD393146:DXD393170 EGZ393146:EGZ393170 EQV393146:EQV393170 FAR393146:FAR393170 FKN393146:FKN393170 FUJ393146:FUJ393170 GEF393146:GEF393170 GOB393146:GOB393170 GXX393146:GXX393170 HHT393146:HHT393170 HRP393146:HRP393170 IBL393146:IBL393170 ILH393146:ILH393170 IVD393146:IVD393170 JEZ393146:JEZ393170 JOV393146:JOV393170 JYR393146:JYR393170 KIN393146:KIN393170 KSJ393146:KSJ393170 LCF393146:LCF393170 LMB393146:LMB393170 LVX393146:LVX393170 MFT393146:MFT393170 MPP393146:MPP393170 MZL393146:MZL393170 NJH393146:NJH393170 NTD393146:NTD393170 OCZ393146:OCZ393170 OMV393146:OMV393170 OWR393146:OWR393170 PGN393146:PGN393170 PQJ393146:PQJ393170 QAF393146:QAF393170 QKB393146:QKB393170 QTX393146:QTX393170 RDT393146:RDT393170 RNP393146:RNP393170 RXL393146:RXL393170 SHH393146:SHH393170 SRD393146:SRD393170 TAZ393146:TAZ393170 TKV393146:TKV393170 TUR393146:TUR393170 UEN393146:UEN393170 UOJ393146:UOJ393170 UYF393146:UYF393170 VIB393146:VIB393170 VRX393146:VRX393170 WBT393146:WBT393170 WLP393146:WLP393170 WVL393146:WVL393170 D458769:D458793 IZ458682:IZ458706 SV458682:SV458706 ACR458682:ACR458706 AMN458682:AMN458706 AWJ458682:AWJ458706 BGF458682:BGF458706 BQB458682:BQB458706 BZX458682:BZX458706 CJT458682:CJT458706 CTP458682:CTP458706 DDL458682:DDL458706 DNH458682:DNH458706 DXD458682:DXD458706 EGZ458682:EGZ458706 EQV458682:EQV458706 FAR458682:FAR458706 FKN458682:FKN458706 FUJ458682:FUJ458706 GEF458682:GEF458706 GOB458682:GOB458706 GXX458682:GXX458706 HHT458682:HHT458706 HRP458682:HRP458706 IBL458682:IBL458706 ILH458682:ILH458706 IVD458682:IVD458706 JEZ458682:JEZ458706 JOV458682:JOV458706 JYR458682:JYR458706 KIN458682:KIN458706 KSJ458682:KSJ458706 LCF458682:LCF458706 LMB458682:LMB458706 LVX458682:LVX458706 MFT458682:MFT458706 MPP458682:MPP458706 MZL458682:MZL458706 NJH458682:NJH458706 NTD458682:NTD458706 OCZ458682:OCZ458706 OMV458682:OMV458706 OWR458682:OWR458706 PGN458682:PGN458706 PQJ458682:PQJ458706 QAF458682:QAF458706 QKB458682:QKB458706 QTX458682:QTX458706 RDT458682:RDT458706 RNP458682:RNP458706 RXL458682:RXL458706 SHH458682:SHH458706 SRD458682:SRD458706 TAZ458682:TAZ458706 TKV458682:TKV458706 TUR458682:TUR458706 UEN458682:UEN458706 UOJ458682:UOJ458706 UYF458682:UYF458706 VIB458682:VIB458706 VRX458682:VRX458706 WBT458682:WBT458706 WLP458682:WLP458706 WVL458682:WVL458706 D524305:D524329 IZ524218:IZ524242 SV524218:SV524242 ACR524218:ACR524242 AMN524218:AMN524242 AWJ524218:AWJ524242 BGF524218:BGF524242 BQB524218:BQB524242 BZX524218:BZX524242 CJT524218:CJT524242 CTP524218:CTP524242 DDL524218:DDL524242 DNH524218:DNH524242 DXD524218:DXD524242 EGZ524218:EGZ524242 EQV524218:EQV524242 FAR524218:FAR524242 FKN524218:FKN524242 FUJ524218:FUJ524242 GEF524218:GEF524242 GOB524218:GOB524242 GXX524218:GXX524242 HHT524218:HHT524242 HRP524218:HRP524242 IBL524218:IBL524242 ILH524218:ILH524242 IVD524218:IVD524242 JEZ524218:JEZ524242 JOV524218:JOV524242 JYR524218:JYR524242 KIN524218:KIN524242 KSJ524218:KSJ524242 LCF524218:LCF524242 LMB524218:LMB524242 LVX524218:LVX524242 MFT524218:MFT524242 MPP524218:MPP524242 MZL524218:MZL524242 NJH524218:NJH524242 NTD524218:NTD524242 OCZ524218:OCZ524242 OMV524218:OMV524242 OWR524218:OWR524242 PGN524218:PGN524242 PQJ524218:PQJ524242 QAF524218:QAF524242 QKB524218:QKB524242 QTX524218:QTX524242 RDT524218:RDT524242 RNP524218:RNP524242 RXL524218:RXL524242 SHH524218:SHH524242 SRD524218:SRD524242 TAZ524218:TAZ524242 TKV524218:TKV524242 TUR524218:TUR524242 UEN524218:UEN524242 UOJ524218:UOJ524242 UYF524218:UYF524242 VIB524218:VIB524242 VRX524218:VRX524242 WBT524218:WBT524242 WLP524218:WLP524242 WVL524218:WVL524242 D589841:D589865 IZ589754:IZ589778 SV589754:SV589778 ACR589754:ACR589778 AMN589754:AMN589778 AWJ589754:AWJ589778 BGF589754:BGF589778 BQB589754:BQB589778 BZX589754:BZX589778 CJT589754:CJT589778 CTP589754:CTP589778 DDL589754:DDL589778 DNH589754:DNH589778 DXD589754:DXD589778 EGZ589754:EGZ589778 EQV589754:EQV589778 FAR589754:FAR589778 FKN589754:FKN589778 FUJ589754:FUJ589778 GEF589754:GEF589778 GOB589754:GOB589778 GXX589754:GXX589778 HHT589754:HHT589778 HRP589754:HRP589778 IBL589754:IBL589778 ILH589754:ILH589778 IVD589754:IVD589778 JEZ589754:JEZ589778 JOV589754:JOV589778 JYR589754:JYR589778 KIN589754:KIN589778 KSJ589754:KSJ589778 LCF589754:LCF589778 LMB589754:LMB589778 LVX589754:LVX589778 MFT589754:MFT589778 MPP589754:MPP589778 MZL589754:MZL589778 NJH589754:NJH589778 NTD589754:NTD589778 OCZ589754:OCZ589778 OMV589754:OMV589778 OWR589754:OWR589778 PGN589754:PGN589778 PQJ589754:PQJ589778 QAF589754:QAF589778 QKB589754:QKB589778 QTX589754:QTX589778 RDT589754:RDT589778 RNP589754:RNP589778 RXL589754:RXL589778 SHH589754:SHH589778 SRD589754:SRD589778 TAZ589754:TAZ589778 TKV589754:TKV589778 TUR589754:TUR589778 UEN589754:UEN589778 UOJ589754:UOJ589778 UYF589754:UYF589778 VIB589754:VIB589778 VRX589754:VRX589778 WBT589754:WBT589778 WLP589754:WLP589778 WVL589754:WVL589778 D655377:D655401 IZ655290:IZ655314 SV655290:SV655314 ACR655290:ACR655314 AMN655290:AMN655314 AWJ655290:AWJ655314 BGF655290:BGF655314 BQB655290:BQB655314 BZX655290:BZX655314 CJT655290:CJT655314 CTP655290:CTP655314 DDL655290:DDL655314 DNH655290:DNH655314 DXD655290:DXD655314 EGZ655290:EGZ655314 EQV655290:EQV655314 FAR655290:FAR655314 FKN655290:FKN655314 FUJ655290:FUJ655314 GEF655290:GEF655314 GOB655290:GOB655314 GXX655290:GXX655314 HHT655290:HHT655314 HRP655290:HRP655314 IBL655290:IBL655314 ILH655290:ILH655314 IVD655290:IVD655314 JEZ655290:JEZ655314 JOV655290:JOV655314 JYR655290:JYR655314 KIN655290:KIN655314 KSJ655290:KSJ655314 LCF655290:LCF655314 LMB655290:LMB655314 LVX655290:LVX655314 MFT655290:MFT655314 MPP655290:MPP655314 MZL655290:MZL655314 NJH655290:NJH655314 NTD655290:NTD655314 OCZ655290:OCZ655314 OMV655290:OMV655314 OWR655290:OWR655314 PGN655290:PGN655314 PQJ655290:PQJ655314 QAF655290:QAF655314 QKB655290:QKB655314 QTX655290:QTX655314 RDT655290:RDT655314 RNP655290:RNP655314 RXL655290:RXL655314 SHH655290:SHH655314 SRD655290:SRD655314 TAZ655290:TAZ655314 TKV655290:TKV655314 TUR655290:TUR655314 UEN655290:UEN655314 UOJ655290:UOJ655314 UYF655290:UYF655314 VIB655290:VIB655314 VRX655290:VRX655314 WBT655290:WBT655314 WLP655290:WLP655314 WVL655290:WVL655314 D720913:D720937 IZ720826:IZ720850 SV720826:SV720850 ACR720826:ACR720850 AMN720826:AMN720850 AWJ720826:AWJ720850 BGF720826:BGF720850 BQB720826:BQB720850 BZX720826:BZX720850 CJT720826:CJT720850 CTP720826:CTP720850 DDL720826:DDL720850 DNH720826:DNH720850 DXD720826:DXD720850 EGZ720826:EGZ720850 EQV720826:EQV720850 FAR720826:FAR720850 FKN720826:FKN720850 FUJ720826:FUJ720850 GEF720826:GEF720850 GOB720826:GOB720850 GXX720826:GXX720850 HHT720826:HHT720850 HRP720826:HRP720850 IBL720826:IBL720850 ILH720826:ILH720850 IVD720826:IVD720850 JEZ720826:JEZ720850 JOV720826:JOV720850 JYR720826:JYR720850 KIN720826:KIN720850 KSJ720826:KSJ720850 LCF720826:LCF720850 LMB720826:LMB720850 LVX720826:LVX720850 MFT720826:MFT720850 MPP720826:MPP720850 MZL720826:MZL720850 NJH720826:NJH720850 NTD720826:NTD720850 OCZ720826:OCZ720850 OMV720826:OMV720850 OWR720826:OWR720850 PGN720826:PGN720850 PQJ720826:PQJ720850 QAF720826:QAF720850 QKB720826:QKB720850 QTX720826:QTX720850 RDT720826:RDT720850 RNP720826:RNP720850 RXL720826:RXL720850 SHH720826:SHH720850 SRD720826:SRD720850 TAZ720826:TAZ720850 TKV720826:TKV720850 TUR720826:TUR720850 UEN720826:UEN720850 UOJ720826:UOJ720850 UYF720826:UYF720850 VIB720826:VIB720850 VRX720826:VRX720850 WBT720826:WBT720850 WLP720826:WLP720850 WVL720826:WVL720850 D786449:D786473 IZ786362:IZ786386 SV786362:SV786386 ACR786362:ACR786386 AMN786362:AMN786386 AWJ786362:AWJ786386 BGF786362:BGF786386 BQB786362:BQB786386 BZX786362:BZX786386 CJT786362:CJT786386 CTP786362:CTP786386 DDL786362:DDL786386 DNH786362:DNH786386 DXD786362:DXD786386 EGZ786362:EGZ786386 EQV786362:EQV786386 FAR786362:FAR786386 FKN786362:FKN786386 FUJ786362:FUJ786386 GEF786362:GEF786386 GOB786362:GOB786386 GXX786362:GXX786386 HHT786362:HHT786386 HRP786362:HRP786386 IBL786362:IBL786386 ILH786362:ILH786386 IVD786362:IVD786386 JEZ786362:JEZ786386 JOV786362:JOV786386 JYR786362:JYR786386 KIN786362:KIN786386 KSJ786362:KSJ786386 LCF786362:LCF786386 LMB786362:LMB786386 LVX786362:LVX786386 MFT786362:MFT786386 MPP786362:MPP786386 MZL786362:MZL786386 NJH786362:NJH786386 NTD786362:NTD786386 OCZ786362:OCZ786386 OMV786362:OMV786386 OWR786362:OWR786386 PGN786362:PGN786386 PQJ786362:PQJ786386 QAF786362:QAF786386 QKB786362:QKB786386 QTX786362:QTX786386 RDT786362:RDT786386 RNP786362:RNP786386 RXL786362:RXL786386 SHH786362:SHH786386 SRD786362:SRD786386 TAZ786362:TAZ786386 TKV786362:TKV786386 TUR786362:TUR786386 UEN786362:UEN786386 UOJ786362:UOJ786386 UYF786362:UYF786386 VIB786362:VIB786386 VRX786362:VRX786386 WBT786362:WBT786386 WLP786362:WLP786386 WVL786362:WVL786386 D851985:D852009 IZ851898:IZ851922 SV851898:SV851922 ACR851898:ACR851922 AMN851898:AMN851922 AWJ851898:AWJ851922 BGF851898:BGF851922 BQB851898:BQB851922 BZX851898:BZX851922 CJT851898:CJT851922 CTP851898:CTP851922 DDL851898:DDL851922 DNH851898:DNH851922 DXD851898:DXD851922 EGZ851898:EGZ851922 EQV851898:EQV851922 FAR851898:FAR851922 FKN851898:FKN851922 FUJ851898:FUJ851922 GEF851898:GEF851922 GOB851898:GOB851922 GXX851898:GXX851922 HHT851898:HHT851922 HRP851898:HRP851922 IBL851898:IBL851922 ILH851898:ILH851922 IVD851898:IVD851922 JEZ851898:JEZ851922 JOV851898:JOV851922 JYR851898:JYR851922 KIN851898:KIN851922 KSJ851898:KSJ851922 LCF851898:LCF851922 LMB851898:LMB851922 LVX851898:LVX851922 MFT851898:MFT851922 MPP851898:MPP851922 MZL851898:MZL851922 NJH851898:NJH851922 NTD851898:NTD851922 OCZ851898:OCZ851922 OMV851898:OMV851922 OWR851898:OWR851922 PGN851898:PGN851922 PQJ851898:PQJ851922 QAF851898:QAF851922 QKB851898:QKB851922 QTX851898:QTX851922 RDT851898:RDT851922 RNP851898:RNP851922 RXL851898:RXL851922 SHH851898:SHH851922 SRD851898:SRD851922 TAZ851898:TAZ851922 TKV851898:TKV851922 TUR851898:TUR851922 UEN851898:UEN851922 UOJ851898:UOJ851922 UYF851898:UYF851922 VIB851898:VIB851922 VRX851898:VRX851922 WBT851898:WBT851922 WLP851898:WLP851922 WVL851898:WVL851922 D917521:D917545 IZ917434:IZ917458 SV917434:SV917458 ACR917434:ACR917458 AMN917434:AMN917458 AWJ917434:AWJ917458 BGF917434:BGF917458 BQB917434:BQB917458 BZX917434:BZX917458 CJT917434:CJT917458 CTP917434:CTP917458 DDL917434:DDL917458 DNH917434:DNH917458 DXD917434:DXD917458 EGZ917434:EGZ917458 EQV917434:EQV917458 FAR917434:FAR917458 FKN917434:FKN917458 FUJ917434:FUJ917458 GEF917434:GEF917458 GOB917434:GOB917458 GXX917434:GXX917458 HHT917434:HHT917458 HRP917434:HRP917458 IBL917434:IBL917458 ILH917434:ILH917458 IVD917434:IVD917458 JEZ917434:JEZ917458 JOV917434:JOV917458 JYR917434:JYR917458 KIN917434:KIN917458 KSJ917434:KSJ917458 LCF917434:LCF917458 LMB917434:LMB917458 LVX917434:LVX917458 MFT917434:MFT917458 MPP917434:MPP917458 MZL917434:MZL917458 NJH917434:NJH917458 NTD917434:NTD917458 OCZ917434:OCZ917458 OMV917434:OMV917458 OWR917434:OWR917458 PGN917434:PGN917458 PQJ917434:PQJ917458 QAF917434:QAF917458 QKB917434:QKB917458 QTX917434:QTX917458 RDT917434:RDT917458 RNP917434:RNP917458 RXL917434:RXL917458 SHH917434:SHH917458 SRD917434:SRD917458 TAZ917434:TAZ917458 TKV917434:TKV917458 TUR917434:TUR917458 UEN917434:UEN917458 UOJ917434:UOJ917458 UYF917434:UYF917458 VIB917434:VIB917458 VRX917434:VRX917458 WBT917434:WBT917458 WLP917434:WLP917458 WVL917434:WVL917458 D983057:D983081 IZ982970:IZ982994 SV982970:SV982994 ACR982970:ACR982994 AMN982970:AMN982994 AWJ982970:AWJ982994 BGF982970:BGF982994 BQB982970:BQB982994 BZX982970:BZX982994 CJT982970:CJT982994 CTP982970:CTP982994 DDL982970:DDL982994 DNH982970:DNH982994 DXD982970:DXD982994 EGZ982970:EGZ982994 EQV982970:EQV982994 FAR982970:FAR982994 FKN982970:FKN982994 FUJ982970:FUJ982994 GEF982970:GEF982994 GOB982970:GOB982994 GXX982970:GXX982994 HHT982970:HHT982994 HRP982970:HRP982994 IBL982970:IBL982994 ILH982970:ILH982994 IVD982970:IVD982994 JEZ982970:JEZ982994 JOV982970:JOV982994 JYR982970:JYR982994 KIN982970:KIN982994 KSJ982970:KSJ982994 LCF982970:LCF982994 LMB982970:LMB982994 LVX982970:LVX982994 MFT982970:MFT982994 MPP982970:MPP982994 MZL982970:MZL982994 NJH982970:NJH982994 NTD982970:NTD982994 OCZ982970:OCZ982994 OMV982970:OMV982994 OWR982970:OWR982994 PGN982970:PGN982994 PQJ982970:PQJ982994 QAF982970:QAF982994 QKB982970:QKB982994 QTX982970:QTX982994 RDT982970:RDT982994 RNP982970:RNP982994 RXL982970:RXL982994 SHH982970:SHH982994 SRD982970:SRD982994 TAZ982970:TAZ982994 TKV982970:TKV982994 TUR982970:TUR982994 UEN982970:UEN982994 UOJ982970:UOJ982994 UYF982970:UYF982994 VIB982970:VIB982994 VRX982970:VRX982994 WBT982970:WBT982994 WLP982970:WLP982994 IY13:IY513 WVK13:WVK513 WLO13:WLO513 WBS13:WBS513 VRW13:VRW513 VIA13:VIA513 UYE13:UYE513 UOI13:UOI513 UEM13:UEM513 TUQ13:TUQ513 TKU13:TKU513 TAY13:TAY513 SRC13:SRC513 SHG13:SHG513 RXK13:RXK513 RNO13:RNO513 RDS13:RDS513 QTW13:QTW513 QKA13:QKA513 QAE13:QAE513 PQI13:PQI513 PGM13:PGM513 OWQ13:OWQ513 OMU13:OMU513 OCY13:OCY513 NTC13:NTC513 NJG13:NJG513 MZK13:MZK513 MPO13:MPO513 MFS13:MFS513 LVW13:LVW513 LMA13:LMA513 LCE13:LCE513 KSI13:KSI513 KIM13:KIM513 JYQ13:JYQ513 JOU13:JOU513 JEY13:JEY513 IVC13:IVC513 ILG13:ILG513 IBK13:IBK513 HRO13:HRO513 HHS13:HHS513 GXW13:GXW513 GOA13:GOA513 GEE13:GEE513 FUI13:FUI513 FKM13:FKM513 FAQ13:FAQ513 EQU13:EQU513 EGY13:EGY513 DXC13:DXC513 DNG13:DNG513 DDK13:DDK513 CTO13:CTO513 CJS13:CJS513 BZW13:BZW513 BQA13:BQA513 BGE13:BGE513 AWI13:AWI513 AMM13:AMM513 ACQ13:ACQ513 SU13:SU513" xr:uid="{00000000-0002-0000-0E00-000011000000}"/>
    <dataValidation type="list" allowBlank="1" showInputMessage="1" showErrorMessage="1" sqref="AG13:AG513 W13:W513 AB13:AB513" xr:uid="{00000000-0002-0000-0E00-000012000000}">
      <formula1>"Y,N"</formula1>
    </dataValidation>
    <dataValidation allowBlank="1" showInputMessage="1" showErrorMessage="1" prompt="Enter applicable service code: 18" sqref="E13:E513" xr:uid="{00000000-0002-0000-0E00-000013000000}"/>
    <dataValidation allowBlank="1" showInputMessage="1" showErrorMessage="1" prompt="Enter client id number" sqref="B13:B513" xr:uid="{00000000-0002-0000-0E00-000014000000}"/>
    <dataValidation allowBlank="1" showInputMessage="1" showErrorMessage="1" prompt="Enter the clients Last Name" sqref="C13:C513" xr:uid="{00000000-0002-0000-0E00-000015000000}"/>
    <dataValidation allowBlank="1" showInputMessage="1" showErrorMessage="1" prompt="Enter the clients First Name" sqref="D13:D513" xr:uid="{00000000-0002-0000-0E00-000016000000}"/>
    <dataValidation allowBlank="1" showInputMessage="1" showErrorMessage="1" prompt="Enter the authorized base monthly co-pay. For CBA refer to F2065B , for CCAD refer to F2065A, for CWP refer to  F2200." sqref="M13:M513" xr:uid="{00000000-0002-0000-0E00-000017000000}"/>
    <dataValidation allowBlank="1" showInputMessage="1" showErrorMessage="1" prompt="Enter the authorized R&amp;B monthly amount. For CBA refer to F2065B, for CCAD refer to F2065A, for CWP refer to F2200._x000a_" sqref="N13:N513" xr:uid="{00000000-0002-0000-0E00-000018000000}"/>
    <dataValidation allowBlank="1" showInputMessage="1" showErrorMessage="1" prompt="Enter the number of billable/documented units/days from daily census. For CBA or CCAD  refer to F3251, for CWP refer to F2213" sqref="Q13:Q513" xr:uid="{00000000-0002-0000-0E00-000019000000}"/>
    <dataValidation allowBlank="1" showInputMessage="1" showErrorMessage="1" prompt="Enter the number of billable (documented) units/days from daily census. For CBA or CCAD refer to F3251, for CWP refer to F2213" sqref="R13:R513" xr:uid="{00000000-0002-0000-0E00-00001A000000}"/>
    <dataValidation type="list" allowBlank="1" showInputMessage="1" showErrorMessage="1" sqref="A13:A513" xr:uid="{00000000-0002-0000-0E00-00001B000000}">
      <formula1>"CCAD-AFC,CBA-AFC"</formula1>
    </dataValidation>
  </dataValidations>
  <printOptions horizontalCentered="1"/>
  <pageMargins left="0.25" right="0.25" top="0.75" bottom="0.75" header="0.25" footer="0.25"/>
  <pageSetup scale="41" fitToHeight="18" orientation="landscape" r:id="rId3"/>
  <headerFooter>
    <oddHeader>&amp;L&amp;"Arial,Regular"&amp;8Texas Department of Aging
and Disability Services&amp;C&amp;"Arial,Bold"&amp;12ADULT FOSTER CARE
AFC REIMBURSEMENT&amp;R&amp;"Arial,Regular"&amp;8Form TBD
Page &amp;P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5" tint="0.79998168889431442"/>
  </sheetPr>
  <dimension ref="A1:R30"/>
  <sheetViews>
    <sheetView workbookViewId="0">
      <selection sqref="A1:K1"/>
    </sheetView>
  </sheetViews>
  <sheetFormatPr defaultRowHeight="14.5"/>
  <sheetData>
    <row r="1" spans="1:18" s="68" customFormat="1" ht="16" thickBot="1">
      <c r="A1" s="1395" t="s">
        <v>554</v>
      </c>
      <c r="B1" s="1396"/>
      <c r="C1" s="1396"/>
      <c r="D1" s="1396"/>
      <c r="E1" s="1396"/>
      <c r="F1" s="1396"/>
      <c r="G1" s="1396"/>
      <c r="H1" s="1396"/>
      <c r="I1" s="1396"/>
      <c r="J1" s="1396"/>
      <c r="K1" s="1397"/>
      <c r="L1" s="60"/>
      <c r="M1" s="60"/>
      <c r="N1" s="60"/>
      <c r="O1" s="60"/>
      <c r="P1" s="60"/>
      <c r="Q1" s="60"/>
      <c r="R1" s="60"/>
    </row>
    <row r="2" spans="1:18" s="68" customFormat="1" ht="15" customHeight="1">
      <c r="A2" s="1323" t="s">
        <v>370</v>
      </c>
      <c r="B2" s="1324"/>
      <c r="C2" s="1324"/>
      <c r="D2" s="1324"/>
      <c r="E2" s="1324"/>
      <c r="F2" s="1324"/>
      <c r="G2" s="1324"/>
      <c r="H2" s="1324"/>
      <c r="I2" s="1324"/>
      <c r="J2" s="1324"/>
      <c r="K2" s="1325"/>
      <c r="L2" s="60"/>
      <c r="M2" s="60"/>
      <c r="N2" s="60"/>
      <c r="O2" s="60"/>
      <c r="P2" s="60"/>
      <c r="Q2" s="60"/>
      <c r="R2" s="60"/>
    </row>
    <row r="3" spans="1:18" s="68" customFormat="1" ht="15.75" customHeight="1">
      <c r="A3" s="1314" t="s">
        <v>555</v>
      </c>
      <c r="B3" s="1315"/>
      <c r="C3" s="1315"/>
      <c r="D3" s="1315"/>
      <c r="E3" s="1315"/>
      <c r="F3" s="1315"/>
      <c r="G3" s="1315"/>
      <c r="H3" s="1315"/>
      <c r="I3" s="1315"/>
      <c r="J3" s="1315"/>
      <c r="K3" s="1316"/>
      <c r="L3" s="60"/>
      <c r="M3" s="60"/>
      <c r="N3" s="60"/>
      <c r="O3" s="60"/>
      <c r="P3" s="60"/>
      <c r="Q3" s="60"/>
      <c r="R3" s="60"/>
    </row>
    <row r="4" spans="1:18" s="68" customFormat="1" ht="15.75" customHeight="1">
      <c r="A4" s="1314" t="s">
        <v>371</v>
      </c>
      <c r="B4" s="1315"/>
      <c r="C4" s="1315"/>
      <c r="D4" s="1315"/>
      <c r="E4" s="1315"/>
      <c r="F4" s="1315"/>
      <c r="G4" s="1315"/>
      <c r="H4" s="1315"/>
      <c r="I4" s="1315"/>
      <c r="J4" s="1315"/>
      <c r="K4" s="1316"/>
      <c r="L4" s="60"/>
      <c r="M4" s="60"/>
      <c r="N4" s="60"/>
      <c r="O4" s="60"/>
      <c r="P4" s="60"/>
      <c r="Q4" s="60"/>
      <c r="R4" s="60"/>
    </row>
    <row r="5" spans="1:18" s="68" customFormat="1" ht="15.75" customHeight="1" thickBot="1">
      <c r="A5" s="1314" t="s">
        <v>353</v>
      </c>
      <c r="B5" s="1315"/>
      <c r="C5" s="1315"/>
      <c r="D5" s="1315"/>
      <c r="E5" s="1315"/>
      <c r="F5" s="1315"/>
      <c r="G5" s="1315"/>
      <c r="H5" s="1315"/>
      <c r="I5" s="1315"/>
      <c r="J5" s="1315"/>
      <c r="K5" s="1316"/>
      <c r="L5" s="60"/>
      <c r="M5" s="60"/>
      <c r="N5" s="60"/>
      <c r="O5" s="60"/>
      <c r="P5" s="60"/>
      <c r="Q5" s="60"/>
      <c r="R5" s="60"/>
    </row>
    <row r="6" spans="1:18" s="69" customFormat="1" ht="27.75" customHeight="1" thickBot="1">
      <c r="A6" s="1303" t="s">
        <v>931</v>
      </c>
      <c r="B6" s="1304"/>
      <c r="C6" s="1304"/>
      <c r="D6" s="1304"/>
      <c r="E6" s="1304"/>
      <c r="F6" s="1304"/>
      <c r="G6" s="1304"/>
      <c r="H6" s="1304"/>
      <c r="I6" s="1304"/>
      <c r="J6" s="1304"/>
      <c r="K6" s="1305"/>
      <c r="L6" s="60"/>
      <c r="M6" s="60"/>
      <c r="N6" s="60"/>
      <c r="O6" s="60"/>
      <c r="P6" s="60"/>
      <c r="Q6" s="60"/>
      <c r="R6" s="60"/>
    </row>
    <row r="7" spans="1:18" s="68" customFormat="1" ht="15" customHeight="1">
      <c r="A7" s="70" t="s">
        <v>354</v>
      </c>
      <c r="B7" s="1326" t="s">
        <v>974</v>
      </c>
      <c r="C7" s="1326"/>
      <c r="D7" s="1326"/>
      <c r="E7" s="1326"/>
      <c r="F7" s="1326"/>
      <c r="G7" s="1326"/>
      <c r="H7" s="1326"/>
      <c r="I7" s="1326"/>
      <c r="J7" s="1326"/>
      <c r="K7" s="1327"/>
      <c r="L7" s="60"/>
      <c r="M7" s="60"/>
      <c r="N7" s="60"/>
      <c r="O7" s="60"/>
      <c r="P7" s="60"/>
      <c r="Q7" s="60"/>
      <c r="R7" s="60"/>
    </row>
    <row r="8" spans="1:18" s="68" customFormat="1" ht="15" customHeight="1">
      <c r="A8" s="70" t="s">
        <v>355</v>
      </c>
      <c r="B8" s="1294" t="s">
        <v>356</v>
      </c>
      <c r="C8" s="1294"/>
      <c r="D8" s="1294"/>
      <c r="E8" s="1294"/>
      <c r="F8" s="1294"/>
      <c r="G8" s="1294"/>
      <c r="H8" s="1294"/>
      <c r="I8" s="1294"/>
      <c r="J8" s="1294"/>
      <c r="K8" s="1295"/>
      <c r="L8" s="60"/>
      <c r="M8" s="60"/>
      <c r="N8" s="60"/>
      <c r="O8" s="60"/>
      <c r="P8" s="60"/>
      <c r="Q8" s="60"/>
      <c r="R8" s="60"/>
    </row>
    <row r="9" spans="1:18" s="68" customFormat="1" ht="15" customHeight="1">
      <c r="A9" s="1332" t="s">
        <v>932</v>
      </c>
      <c r="B9" s="1333"/>
      <c r="C9" s="1333"/>
      <c r="D9" s="1328" t="s">
        <v>556</v>
      </c>
      <c r="E9" s="1328"/>
      <c r="F9" s="1328"/>
      <c r="G9" s="1328"/>
      <c r="H9" s="1328"/>
      <c r="I9" s="1328"/>
      <c r="J9" s="1328"/>
      <c r="K9" s="1329"/>
      <c r="L9" s="60"/>
      <c r="M9" s="60"/>
      <c r="N9" s="60"/>
      <c r="O9" s="60"/>
      <c r="P9" s="60"/>
      <c r="Q9" s="60"/>
    </row>
    <row r="10" spans="1:18" s="68" customFormat="1" ht="27.75" customHeight="1">
      <c r="A10" s="70" t="s">
        <v>357</v>
      </c>
      <c r="B10" s="1294" t="s">
        <v>999</v>
      </c>
      <c r="C10" s="1294"/>
      <c r="D10" s="1294"/>
      <c r="E10" s="1294"/>
      <c r="F10" s="1294"/>
      <c r="G10" s="1294"/>
      <c r="H10" s="1294"/>
      <c r="I10" s="1294"/>
      <c r="J10" s="1294"/>
      <c r="K10" s="1295"/>
      <c r="L10" s="60"/>
      <c r="M10" s="60"/>
      <c r="N10" s="60"/>
      <c r="O10" s="60"/>
      <c r="P10" s="60"/>
      <c r="Q10" s="60"/>
      <c r="R10" s="60"/>
    </row>
    <row r="11" spans="1:18" s="68" customFormat="1" ht="26.25" customHeight="1">
      <c r="A11" s="70" t="s">
        <v>358</v>
      </c>
      <c r="B11" s="1294" t="s">
        <v>557</v>
      </c>
      <c r="C11" s="1294"/>
      <c r="D11" s="1294"/>
      <c r="E11" s="1294"/>
      <c r="F11" s="1294"/>
      <c r="G11" s="1294"/>
      <c r="H11" s="1294"/>
      <c r="I11" s="1294"/>
      <c r="J11" s="1294"/>
      <c r="K11" s="1295"/>
      <c r="L11" s="60"/>
      <c r="M11" s="60"/>
      <c r="N11" s="60"/>
      <c r="O11" s="60"/>
      <c r="P11" s="60"/>
      <c r="Q11" s="60"/>
      <c r="R11" s="60"/>
    </row>
    <row r="12" spans="1:18" s="68" customFormat="1" ht="26.25" customHeight="1">
      <c r="A12" s="70" t="s">
        <v>359</v>
      </c>
      <c r="B12" s="1294" t="s">
        <v>558</v>
      </c>
      <c r="C12" s="1294"/>
      <c r="D12" s="1294"/>
      <c r="E12" s="1294"/>
      <c r="F12" s="1294"/>
      <c r="G12" s="1294"/>
      <c r="H12" s="1294"/>
      <c r="I12" s="1294"/>
      <c r="J12" s="1294"/>
      <c r="K12" s="1295"/>
      <c r="L12" s="60"/>
      <c r="M12" s="60"/>
      <c r="N12" s="60"/>
      <c r="O12" s="60"/>
      <c r="P12" s="60"/>
      <c r="Q12" s="60"/>
      <c r="R12" s="60"/>
    </row>
    <row r="13" spans="1:18" s="68" customFormat="1" ht="26.25" customHeight="1" thickBot="1">
      <c r="A13" s="70" t="s">
        <v>360</v>
      </c>
      <c r="B13" s="1294" t="s">
        <v>559</v>
      </c>
      <c r="C13" s="1294"/>
      <c r="D13" s="1294"/>
      <c r="E13" s="1294"/>
      <c r="F13" s="1294"/>
      <c r="G13" s="1294"/>
      <c r="H13" s="1294"/>
      <c r="I13" s="1294"/>
      <c r="J13" s="1294"/>
      <c r="K13" s="1295"/>
      <c r="L13" s="60"/>
      <c r="M13" s="60"/>
      <c r="N13" s="60"/>
      <c r="O13" s="60"/>
      <c r="P13" s="60"/>
      <c r="Q13" s="60"/>
      <c r="R13" s="60"/>
    </row>
    <row r="14" spans="1:18" s="68" customFormat="1" ht="15.75" customHeight="1" thickBot="1">
      <c r="A14" s="1303" t="s">
        <v>361</v>
      </c>
      <c r="B14" s="1304"/>
      <c r="C14" s="1304"/>
      <c r="D14" s="1304"/>
      <c r="E14" s="1304"/>
      <c r="F14" s="1304"/>
      <c r="G14" s="1304"/>
      <c r="H14" s="1304"/>
      <c r="I14" s="1304"/>
      <c r="J14" s="1304"/>
      <c r="K14" s="1305"/>
      <c r="L14" s="60"/>
      <c r="M14" s="60"/>
      <c r="N14" s="60"/>
      <c r="O14" s="60"/>
      <c r="P14" s="60"/>
      <c r="Q14" s="60"/>
      <c r="R14" s="60"/>
    </row>
    <row r="15" spans="1:18" s="68" customFormat="1" ht="37.5" customHeight="1">
      <c r="A15" s="1388" t="s">
        <v>362</v>
      </c>
      <c r="B15" s="1306" t="s">
        <v>560</v>
      </c>
      <c r="C15" s="1306"/>
      <c r="D15" s="1306"/>
      <c r="E15" s="1306"/>
      <c r="F15" s="1306"/>
      <c r="G15" s="1306"/>
      <c r="H15" s="1306"/>
      <c r="I15" s="1306"/>
      <c r="J15" s="1306"/>
      <c r="K15" s="1307"/>
      <c r="L15" s="60"/>
      <c r="M15" s="60"/>
      <c r="N15" s="60"/>
      <c r="O15" s="60"/>
      <c r="P15" s="60"/>
      <c r="Q15" s="60"/>
      <c r="R15" s="60"/>
    </row>
    <row r="16" spans="1:18" s="68" customFormat="1" ht="15" customHeight="1">
      <c r="A16" s="1302"/>
      <c r="B16" s="1328" t="s">
        <v>363</v>
      </c>
      <c r="C16" s="1328"/>
      <c r="D16" s="1328"/>
      <c r="E16" s="1328"/>
      <c r="F16" s="1328"/>
      <c r="G16" s="1328"/>
      <c r="H16" s="1328"/>
      <c r="I16" s="1328"/>
      <c r="J16" s="1328"/>
      <c r="K16" s="1329"/>
      <c r="L16" s="60"/>
      <c r="M16" s="60"/>
      <c r="N16" s="60"/>
      <c r="O16" s="60"/>
      <c r="P16" s="60"/>
      <c r="Q16" s="60"/>
      <c r="R16" s="60"/>
    </row>
    <row r="17" spans="1:18" s="68" customFormat="1" ht="15" customHeight="1" thickBot="1">
      <c r="A17" s="1302"/>
      <c r="B17" s="1398" t="s">
        <v>561</v>
      </c>
      <c r="C17" s="1399"/>
      <c r="D17" s="1399"/>
      <c r="E17" s="1399"/>
      <c r="F17" s="1399"/>
      <c r="G17" s="1399"/>
      <c r="H17" s="1399"/>
      <c r="I17" s="1399"/>
      <c r="J17" s="1399"/>
      <c r="K17" s="1400"/>
      <c r="L17" s="60"/>
      <c r="M17" s="60"/>
      <c r="N17" s="60"/>
      <c r="O17" s="60"/>
      <c r="P17" s="60"/>
      <c r="Q17" s="60"/>
      <c r="R17" s="60"/>
    </row>
    <row r="18" spans="1:18" s="68" customFormat="1" ht="15.75" customHeight="1" thickBot="1">
      <c r="A18" s="1303" t="s">
        <v>337</v>
      </c>
      <c r="B18" s="1304"/>
      <c r="C18" s="1304"/>
      <c r="D18" s="1304"/>
      <c r="E18" s="1304"/>
      <c r="F18" s="1304"/>
      <c r="G18" s="1304"/>
      <c r="H18" s="1304"/>
      <c r="I18" s="1304"/>
      <c r="J18" s="1304"/>
      <c r="K18" s="1305"/>
      <c r="L18" s="60"/>
      <c r="M18" s="60"/>
      <c r="N18" s="60"/>
      <c r="O18" s="60"/>
      <c r="P18" s="60"/>
      <c r="Q18" s="60"/>
      <c r="R18" s="60"/>
    </row>
    <row r="19" spans="1:18" s="68" customFormat="1" ht="25.5" customHeight="1">
      <c r="A19" s="79" t="s">
        <v>364</v>
      </c>
      <c r="B19" s="1306" t="s">
        <v>562</v>
      </c>
      <c r="C19" s="1306"/>
      <c r="D19" s="1306"/>
      <c r="E19" s="1306"/>
      <c r="F19" s="1306"/>
      <c r="G19" s="1306"/>
      <c r="H19" s="1306"/>
      <c r="I19" s="1306"/>
      <c r="J19" s="1306"/>
      <c r="K19" s="1307"/>
      <c r="L19" s="60"/>
      <c r="M19" s="60"/>
      <c r="N19" s="60"/>
      <c r="O19" s="60"/>
      <c r="P19" s="60"/>
      <c r="Q19" s="60"/>
      <c r="R19" s="60"/>
    </row>
    <row r="20" spans="1:18" s="68" customFormat="1" ht="13">
      <c r="A20" s="141" t="s">
        <v>365</v>
      </c>
      <c r="B20" s="1294" t="s">
        <v>563</v>
      </c>
      <c r="C20" s="1294"/>
      <c r="D20" s="1294"/>
      <c r="E20" s="1294"/>
      <c r="F20" s="1294"/>
      <c r="G20" s="1294"/>
      <c r="H20" s="1294"/>
      <c r="I20" s="1294"/>
      <c r="J20" s="1294"/>
      <c r="K20" s="1295"/>
      <c r="L20" s="60"/>
      <c r="M20" s="60"/>
      <c r="N20" s="60"/>
      <c r="O20" s="60"/>
      <c r="P20" s="60"/>
      <c r="Q20" s="60"/>
      <c r="R20" s="60"/>
    </row>
    <row r="21" spans="1:18" s="68" customFormat="1" ht="26.25" customHeight="1">
      <c r="A21" s="141" t="s">
        <v>366</v>
      </c>
      <c r="B21" s="1294" t="s">
        <v>933</v>
      </c>
      <c r="C21" s="1294"/>
      <c r="D21" s="1294"/>
      <c r="E21" s="1294"/>
      <c r="F21" s="1294"/>
      <c r="G21" s="1294"/>
      <c r="H21" s="1294"/>
      <c r="I21" s="1294"/>
      <c r="J21" s="1294"/>
      <c r="K21" s="1295"/>
      <c r="L21" s="60"/>
      <c r="M21" s="60"/>
      <c r="N21" s="60"/>
      <c r="O21" s="60"/>
      <c r="P21" s="60"/>
      <c r="Q21" s="60"/>
      <c r="R21" s="60"/>
    </row>
    <row r="22" spans="1:18" s="68" customFormat="1" ht="15" customHeight="1">
      <c r="A22" s="1385" t="s">
        <v>564</v>
      </c>
      <c r="B22" s="1386"/>
      <c r="C22" s="1386"/>
      <c r="D22" s="1386"/>
      <c r="E22" s="1386"/>
      <c r="F22" s="1386"/>
      <c r="G22" s="1386"/>
      <c r="H22" s="1386"/>
      <c r="I22" s="1386"/>
      <c r="J22" s="1386"/>
      <c r="K22" s="1387"/>
      <c r="L22" s="60"/>
      <c r="M22" s="60"/>
      <c r="N22" s="60"/>
      <c r="O22" s="60"/>
      <c r="P22" s="60"/>
      <c r="Q22" s="60"/>
      <c r="R22" s="60"/>
    </row>
    <row r="23" spans="1:18" s="68" customFormat="1" ht="15" customHeight="1">
      <c r="A23" s="1385" t="s">
        <v>565</v>
      </c>
      <c r="B23" s="1386"/>
      <c r="C23" s="1386"/>
      <c r="D23" s="1386"/>
      <c r="E23" s="1386"/>
      <c r="F23" s="1386"/>
      <c r="G23" s="1386"/>
      <c r="H23" s="1386"/>
      <c r="I23" s="1386"/>
      <c r="J23" s="1386"/>
      <c r="K23" s="1387"/>
      <c r="L23" s="60"/>
      <c r="M23" s="60"/>
      <c r="N23" s="60"/>
      <c r="O23" s="60"/>
      <c r="P23" s="60"/>
      <c r="Q23" s="60"/>
      <c r="R23" s="60"/>
    </row>
    <row r="24" spans="1:18" s="68" customFormat="1" ht="26.25" customHeight="1">
      <c r="A24" s="1385" t="s">
        <v>566</v>
      </c>
      <c r="B24" s="1386"/>
      <c r="C24" s="1386"/>
      <c r="D24" s="1386"/>
      <c r="E24" s="1386"/>
      <c r="F24" s="1386"/>
      <c r="G24" s="1386"/>
      <c r="H24" s="1386"/>
      <c r="I24" s="1386"/>
      <c r="J24" s="1386"/>
      <c r="K24" s="1387"/>
      <c r="L24" s="60"/>
      <c r="M24" s="60"/>
      <c r="N24" s="60"/>
      <c r="O24" s="60"/>
      <c r="P24" s="60"/>
      <c r="Q24" s="60"/>
      <c r="R24" s="60"/>
    </row>
    <row r="25" spans="1:18" s="68" customFormat="1" ht="26.25" customHeight="1">
      <c r="A25" s="1392" t="s">
        <v>567</v>
      </c>
      <c r="B25" s="1393"/>
      <c r="C25" s="1393"/>
      <c r="D25" s="1393"/>
      <c r="E25" s="1393"/>
      <c r="F25" s="1393"/>
      <c r="G25" s="1393"/>
      <c r="H25" s="1393"/>
      <c r="I25" s="1393"/>
      <c r="J25" s="1393"/>
      <c r="K25" s="1394"/>
      <c r="L25" s="60"/>
      <c r="M25" s="60"/>
      <c r="N25" s="60"/>
      <c r="O25" s="60"/>
      <c r="P25" s="60"/>
      <c r="Q25" s="60"/>
      <c r="R25" s="60"/>
    </row>
    <row r="26" spans="1:18" s="68" customFormat="1" ht="13">
      <c r="A26" s="141" t="s">
        <v>367</v>
      </c>
      <c r="B26" s="1294" t="s">
        <v>1032</v>
      </c>
      <c r="C26" s="1294"/>
      <c r="D26" s="1294"/>
      <c r="E26" s="1294"/>
      <c r="F26" s="1294"/>
      <c r="G26" s="1294"/>
      <c r="H26" s="1294"/>
      <c r="I26" s="1294"/>
      <c r="J26" s="1294"/>
      <c r="K26" s="1295"/>
      <c r="L26" s="60"/>
      <c r="M26" s="60"/>
      <c r="N26" s="60"/>
      <c r="O26" s="60"/>
      <c r="P26" s="60"/>
      <c r="Q26" s="60"/>
      <c r="R26" s="60"/>
    </row>
    <row r="27" spans="1:18" s="68" customFormat="1" ht="26.25" customHeight="1">
      <c r="A27" s="1385" t="s">
        <v>1033</v>
      </c>
      <c r="B27" s="1386"/>
      <c r="C27" s="1386"/>
      <c r="D27" s="1386"/>
      <c r="E27" s="1386"/>
      <c r="F27" s="1386"/>
      <c r="G27" s="1386"/>
      <c r="H27" s="1386"/>
      <c r="I27" s="1386"/>
      <c r="J27" s="1386"/>
      <c r="K27" s="1387"/>
      <c r="L27" s="60"/>
      <c r="M27" s="60"/>
      <c r="N27" s="60"/>
      <c r="O27" s="60"/>
      <c r="P27" s="60"/>
      <c r="Q27" s="60"/>
      <c r="R27" s="60"/>
    </row>
    <row r="28" spans="1:18" s="68" customFormat="1" ht="45" customHeight="1">
      <c r="A28" s="1389" t="s">
        <v>1034</v>
      </c>
      <c r="B28" s="1390"/>
      <c r="C28" s="1390"/>
      <c r="D28" s="1390"/>
      <c r="E28" s="1390"/>
      <c r="F28" s="1390"/>
      <c r="G28" s="1390"/>
      <c r="H28" s="1390"/>
      <c r="I28" s="1390"/>
      <c r="J28" s="1390"/>
      <c r="K28" s="1391"/>
      <c r="L28" s="60"/>
      <c r="M28" s="60"/>
      <c r="N28" s="60"/>
      <c r="O28" s="60"/>
      <c r="P28" s="60"/>
      <c r="Q28" s="60"/>
      <c r="R28" s="60"/>
    </row>
    <row r="29" spans="1:18" s="68" customFormat="1" ht="30" customHeight="1">
      <c r="A29" s="1385" t="s">
        <v>1021</v>
      </c>
      <c r="B29" s="1386"/>
      <c r="C29" s="1386"/>
      <c r="D29" s="1386"/>
      <c r="E29" s="1386"/>
      <c r="F29" s="1386"/>
      <c r="G29" s="1386"/>
      <c r="H29" s="1386"/>
      <c r="I29" s="1386"/>
      <c r="J29" s="1386"/>
      <c r="K29" s="1387"/>
      <c r="L29" s="60"/>
      <c r="M29" s="60"/>
      <c r="N29" s="60"/>
      <c r="O29" s="60"/>
      <c r="P29" s="60"/>
      <c r="Q29" s="60"/>
      <c r="R29" s="60"/>
    </row>
    <row r="30" spans="1:18" s="68" customFormat="1" ht="13.5" thickBot="1">
      <c r="A30" s="1382" t="s">
        <v>369</v>
      </c>
      <c r="B30" s="1383"/>
      <c r="C30" s="1383"/>
      <c r="D30" s="1383"/>
      <c r="E30" s="1383"/>
      <c r="F30" s="1383"/>
      <c r="G30" s="1383"/>
      <c r="H30" s="1383"/>
      <c r="I30" s="1383"/>
      <c r="J30" s="1383"/>
      <c r="K30" s="1384"/>
      <c r="L30" s="60"/>
      <c r="M30" s="60"/>
      <c r="N30" s="60"/>
      <c r="O30" s="60"/>
      <c r="P30" s="60"/>
      <c r="Q30" s="60"/>
      <c r="R30" s="60"/>
    </row>
  </sheetData>
  <sheetProtection password="A541" sheet="1" objects="1" scenarios="1"/>
  <customSheetViews>
    <customSheetView guid="{E1D23BD2-FE11-448B-A102-D2461140BE5A}" state="hidden">
      <selection sqref="A1:K1"/>
      <pageMargins left="0.7" right="0.7" top="0.75" bottom="0.75" header="0.3" footer="0.3"/>
      <pageSetup orientation="portrait" r:id="rId1"/>
    </customSheetView>
    <customSheetView guid="{B71FF06E-B5A8-4FBF-B20E-2B604DE9BFBD}" state="hidden">
      <selection sqref="A1:K1"/>
      <pageMargins left="0.7" right="0.7" top="0.75" bottom="0.75" header="0.3" footer="0.3"/>
      <pageSetup orientation="portrait" r:id="rId2"/>
    </customSheetView>
  </customSheetViews>
  <mergeCells count="32">
    <mergeCell ref="A24:K24"/>
    <mergeCell ref="A23:K23"/>
    <mergeCell ref="A22:K22"/>
    <mergeCell ref="B8:K8"/>
    <mergeCell ref="A1:K1"/>
    <mergeCell ref="A2:K2"/>
    <mergeCell ref="A4:K4"/>
    <mergeCell ref="A5:K5"/>
    <mergeCell ref="A3:K3"/>
    <mergeCell ref="A6:K6"/>
    <mergeCell ref="B7:K7"/>
    <mergeCell ref="B10:K10"/>
    <mergeCell ref="A9:C9"/>
    <mergeCell ref="D9:K9"/>
    <mergeCell ref="B16:K16"/>
    <mergeCell ref="B17:K17"/>
    <mergeCell ref="A30:K30"/>
    <mergeCell ref="B13:K13"/>
    <mergeCell ref="A14:K14"/>
    <mergeCell ref="B15:K15"/>
    <mergeCell ref="B11:K11"/>
    <mergeCell ref="B12:K12"/>
    <mergeCell ref="A29:K29"/>
    <mergeCell ref="A18:K18"/>
    <mergeCell ref="B20:K20"/>
    <mergeCell ref="A15:A17"/>
    <mergeCell ref="B21:K21"/>
    <mergeCell ref="B26:K26"/>
    <mergeCell ref="A28:K28"/>
    <mergeCell ref="B19:K19"/>
    <mergeCell ref="A27:K27"/>
    <mergeCell ref="A25:K25"/>
  </mergeCells>
  <hyperlinks>
    <hyperlink ref="B17" r:id="rId3" location="sec4581" xr:uid="{00000000-0004-0000-0F00-000000000000}"/>
  </hyperlinks>
  <pageMargins left="0.7" right="0.7" top="0.75" bottom="0.75" header="0.3" footer="0.3"/>
  <pageSetup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P313"/>
  <sheetViews>
    <sheetView workbookViewId="0">
      <pane ySplit="12" topLeftCell="A13" activePane="bottomLeft" state="frozen"/>
      <selection pane="bottomLeft" activeCell="M25" sqref="M25"/>
    </sheetView>
  </sheetViews>
  <sheetFormatPr defaultColWidth="9.1796875" defaultRowHeight="14.5"/>
  <sheetData>
    <row r="1" spans="1:16" s="1" customFormat="1" ht="15.75" customHeight="1" thickTop="1">
      <c r="A1" s="592" t="s">
        <v>0</v>
      </c>
      <c r="B1" s="593"/>
      <c r="C1" s="593"/>
      <c r="D1" s="593"/>
      <c r="E1" s="593"/>
      <c r="F1" s="594"/>
      <c r="G1" s="1176" t="s">
        <v>1</v>
      </c>
      <c r="H1" s="596"/>
      <c r="I1" s="1176" t="s">
        <v>2</v>
      </c>
      <c r="J1" s="596"/>
    </row>
    <row r="2" spans="1:16" s="1" customFormat="1" ht="16" thickBot="1">
      <c r="A2" s="1358">
        <f>NameOfLegalEntity</f>
        <v>0</v>
      </c>
      <c r="B2" s="1359"/>
      <c r="C2" s="1359"/>
      <c r="D2" s="1359"/>
      <c r="E2" s="1359"/>
      <c r="F2" s="1360"/>
      <c r="G2" s="699">
        <f>ReviewLevel</f>
        <v>0</v>
      </c>
      <c r="H2" s="700"/>
      <c r="I2" s="699">
        <f>ReviewType</f>
        <v>0</v>
      </c>
      <c r="J2" s="700"/>
    </row>
    <row r="3" spans="1:16" s="1" customFormat="1" ht="15.75" customHeight="1" thickTop="1">
      <c r="A3" s="1371" t="s">
        <v>3</v>
      </c>
      <c r="B3" s="1372"/>
      <c r="C3" s="1372"/>
      <c r="D3" s="1372"/>
      <c r="E3" s="1373"/>
      <c r="F3" s="1176" t="s">
        <v>4</v>
      </c>
      <c r="G3" s="596"/>
      <c r="H3" s="592" t="s">
        <v>939</v>
      </c>
      <c r="I3" s="593"/>
      <c r="J3" s="594"/>
    </row>
    <row r="4" spans="1:16" s="1" customFormat="1" ht="15.5">
      <c r="A4" s="13" t="s">
        <v>6</v>
      </c>
      <c r="B4" s="1338">
        <f>CompletedByLastName</f>
        <v>0</v>
      </c>
      <c r="C4" s="1338"/>
      <c r="D4" s="1338"/>
      <c r="E4" s="1339"/>
      <c r="F4" s="1208" t="s">
        <v>7</v>
      </c>
      <c r="G4" s="1367"/>
      <c r="H4" s="2" t="s">
        <v>8</v>
      </c>
      <c r="I4" s="1348" t="str">
        <f>IF(DateOfMonitoringPeriodBegin="","",DateOfMonitoringPeriodBegin)</f>
        <v/>
      </c>
      <c r="J4" s="1349"/>
    </row>
    <row r="5" spans="1:16" s="1" customFormat="1" ht="16.5" customHeight="1" thickBot="1">
      <c r="A5" s="13" t="s">
        <v>9</v>
      </c>
      <c r="B5" s="1338">
        <f>CompletedByFirstName</f>
        <v>0</v>
      </c>
      <c r="C5" s="1338"/>
      <c r="D5" s="1338"/>
      <c r="E5" s="1339"/>
      <c r="F5" s="1340" t="str">
        <f>IF(DateOfEntrance="","",DateOfEntrance)</f>
        <v/>
      </c>
      <c r="G5" s="1341"/>
      <c r="H5" s="2" t="s">
        <v>10</v>
      </c>
      <c r="I5" s="1348" t="str">
        <f>IF(DateOfMonitoringPeriodEnd="","",DateOfMonitoringPeriodEnd)</f>
        <v/>
      </c>
      <c r="J5" s="1349"/>
    </row>
    <row r="6" spans="1:16" s="1" customFormat="1" ht="15.75" customHeight="1" thickTop="1" thickBot="1">
      <c r="A6" s="607" t="s">
        <v>11</v>
      </c>
      <c r="B6" s="608"/>
      <c r="C6" s="608" t="s">
        <v>49</v>
      </c>
      <c r="D6" s="608"/>
      <c r="E6" s="1342"/>
      <c r="F6" s="592"/>
      <c r="G6" s="593"/>
      <c r="H6" s="593"/>
      <c r="I6" s="593"/>
      <c r="J6" s="594"/>
    </row>
    <row r="7" spans="1:16" s="1" customFormat="1" ht="15" customHeight="1" thickBot="1">
      <c r="A7" s="1343" t="s">
        <v>69</v>
      </c>
      <c r="B7" s="1344"/>
      <c r="C7" s="1345">
        <f>CBAOHRcontractNumber</f>
        <v>0</v>
      </c>
      <c r="D7" s="1346"/>
      <c r="E7" s="1347"/>
      <c r="F7" s="1420"/>
      <c r="G7" s="1421"/>
      <c r="H7" s="1417"/>
      <c r="I7" s="1417"/>
      <c r="J7" s="1418"/>
    </row>
    <row r="8" spans="1:16" s="1" customFormat="1" ht="16" thickBot="1">
      <c r="A8" s="1395" t="s">
        <v>547</v>
      </c>
      <c r="B8" s="1396"/>
      <c r="C8" s="1396"/>
      <c r="D8" s="1396"/>
      <c r="E8" s="1396"/>
      <c r="F8" s="1396"/>
      <c r="G8" s="1396"/>
      <c r="H8" s="1396"/>
      <c r="I8" s="1396"/>
      <c r="J8" s="1396"/>
      <c r="K8" s="1396"/>
      <c r="L8" s="1396"/>
      <c r="M8" s="1396"/>
      <c r="N8" s="1396"/>
      <c r="O8" s="1396"/>
      <c r="P8" s="1397"/>
    </row>
    <row r="9" spans="1:16" s="67" customFormat="1" ht="39" customHeight="1" thickBot="1">
      <c r="A9" s="1320" t="s">
        <v>928</v>
      </c>
      <c r="B9" s="1321"/>
      <c r="C9" s="1321"/>
      <c r="D9" s="1321"/>
      <c r="E9" s="1321"/>
      <c r="F9" s="1321"/>
      <c r="G9" s="1321"/>
      <c r="H9" s="1322"/>
      <c r="I9" s="150" t="s">
        <v>548</v>
      </c>
      <c r="J9" s="1310" t="s">
        <v>337</v>
      </c>
      <c r="K9" s="1311"/>
      <c r="L9" s="1312"/>
      <c r="M9" s="1321" t="s">
        <v>352</v>
      </c>
      <c r="N9" s="1321"/>
      <c r="O9" s="1321"/>
      <c r="P9" s="1322"/>
    </row>
    <row r="10" spans="1:16" s="64" customFormat="1" ht="15.75" customHeight="1" thickBot="1">
      <c r="A10" s="1369" t="s">
        <v>52</v>
      </c>
      <c r="B10" s="1370"/>
      <c r="C10" s="51" t="s">
        <v>53</v>
      </c>
      <c r="D10" s="1354" t="s">
        <v>54</v>
      </c>
      <c r="E10" s="1354"/>
      <c r="F10" s="52" t="s">
        <v>55</v>
      </c>
      <c r="G10" s="52" t="s">
        <v>56</v>
      </c>
      <c r="H10" s="53" t="s">
        <v>57</v>
      </c>
      <c r="I10" s="91" t="s">
        <v>58</v>
      </c>
      <c r="J10" s="54" t="s">
        <v>59</v>
      </c>
      <c r="K10" s="52" t="s">
        <v>60</v>
      </c>
      <c r="L10" s="142" t="s">
        <v>71</v>
      </c>
      <c r="M10" s="1419" t="s">
        <v>72</v>
      </c>
      <c r="N10" s="1362"/>
      <c r="O10" s="1362"/>
      <c r="P10" s="1363"/>
    </row>
    <row r="11" spans="1:16" s="65" customFormat="1" ht="120" customHeight="1">
      <c r="A11" s="1401" t="s">
        <v>67</v>
      </c>
      <c r="B11" s="1415" t="s">
        <v>967</v>
      </c>
      <c r="C11" s="1334" t="s">
        <v>340</v>
      </c>
      <c r="D11" s="1334" t="s">
        <v>866</v>
      </c>
      <c r="E11" s="1334"/>
      <c r="F11" s="1334" t="s">
        <v>392</v>
      </c>
      <c r="G11" s="1334" t="s">
        <v>393</v>
      </c>
      <c r="H11" s="1364" t="s">
        <v>394</v>
      </c>
      <c r="I11" s="89" t="s">
        <v>549</v>
      </c>
      <c r="J11" s="1409" t="s">
        <v>551</v>
      </c>
      <c r="K11" s="1411" t="s">
        <v>552</v>
      </c>
      <c r="L11" s="1413" t="s">
        <v>553</v>
      </c>
      <c r="M11" s="1403" t="s">
        <v>1035</v>
      </c>
      <c r="N11" s="1404"/>
      <c r="O11" s="1404"/>
      <c r="P11" s="1405"/>
    </row>
    <row r="12" spans="1:16" s="65" customFormat="1" ht="66" customHeight="1" thickBot="1">
      <c r="A12" s="1402"/>
      <c r="B12" s="1416"/>
      <c r="C12" s="1335"/>
      <c r="D12" s="90" t="s">
        <v>349</v>
      </c>
      <c r="E12" s="90" t="s">
        <v>395</v>
      </c>
      <c r="F12" s="1335"/>
      <c r="G12" s="1335"/>
      <c r="H12" s="1365"/>
      <c r="I12" s="92" t="s">
        <v>550</v>
      </c>
      <c r="J12" s="1410"/>
      <c r="K12" s="1412"/>
      <c r="L12" s="1414"/>
      <c r="M12" s="93" t="s">
        <v>351</v>
      </c>
      <c r="N12" s="1406" t="s">
        <v>352</v>
      </c>
      <c r="O12" s="1407"/>
      <c r="P12" s="1408"/>
    </row>
    <row r="13" spans="1:16" s="66" customFormat="1" ht="13">
      <c r="A13" s="186"/>
      <c r="B13" s="187"/>
      <c r="C13" s="189"/>
      <c r="D13" s="190"/>
      <c r="E13" s="190"/>
      <c r="F13" s="189"/>
      <c r="G13" s="191"/>
      <c r="H13" s="61">
        <f>IF(F13=0,0,(+G13)/F13)</f>
        <v>0</v>
      </c>
      <c r="I13" s="199"/>
      <c r="J13" s="62">
        <f>H13 * I13</f>
        <v>0</v>
      </c>
      <c r="K13" s="94">
        <f>I13 - F13</f>
        <v>0</v>
      </c>
      <c r="L13" s="61">
        <f>J13-G13</f>
        <v>0</v>
      </c>
      <c r="M13" s="198"/>
      <c r="N13" s="1379"/>
      <c r="O13" s="1422"/>
      <c r="P13" s="1380"/>
    </row>
    <row r="14" spans="1:16" s="66" customFormat="1" ht="13">
      <c r="A14" s="186"/>
      <c r="B14" s="187"/>
      <c r="C14" s="189"/>
      <c r="D14" s="190"/>
      <c r="E14" s="190"/>
      <c r="F14" s="189"/>
      <c r="G14" s="191"/>
      <c r="H14" s="61">
        <f t="shared" ref="H14:H77" si="0">IF(F14=0,0,(+G14)/F14)</f>
        <v>0</v>
      </c>
      <c r="I14" s="199"/>
      <c r="J14" s="62">
        <f t="shared" ref="J14:J77" si="1">H14 * I14</f>
        <v>0</v>
      </c>
      <c r="K14" s="94">
        <f t="shared" ref="K14:K77" si="2">I14 - F14</f>
        <v>0</v>
      </c>
      <c r="L14" s="61">
        <f t="shared" ref="L14:L77" si="3">J14-G14</f>
        <v>0</v>
      </c>
      <c r="M14" s="198"/>
      <c r="N14" s="1379"/>
      <c r="O14" s="1422"/>
      <c r="P14" s="1380"/>
    </row>
    <row r="15" spans="1:16" s="66" customFormat="1" ht="13">
      <c r="A15" s="186"/>
      <c r="B15" s="187"/>
      <c r="C15" s="189"/>
      <c r="D15" s="190"/>
      <c r="E15" s="190"/>
      <c r="F15" s="189"/>
      <c r="G15" s="191"/>
      <c r="H15" s="61">
        <f t="shared" si="0"/>
        <v>0</v>
      </c>
      <c r="I15" s="199"/>
      <c r="J15" s="62">
        <f t="shared" si="1"/>
        <v>0</v>
      </c>
      <c r="K15" s="94">
        <f t="shared" si="2"/>
        <v>0</v>
      </c>
      <c r="L15" s="61">
        <f t="shared" si="3"/>
        <v>0</v>
      </c>
      <c r="M15" s="198"/>
      <c r="N15" s="1379"/>
      <c r="O15" s="1422"/>
      <c r="P15" s="1380"/>
    </row>
    <row r="16" spans="1:16" s="66" customFormat="1" ht="13">
      <c r="A16" s="186"/>
      <c r="B16" s="187"/>
      <c r="C16" s="189"/>
      <c r="D16" s="190"/>
      <c r="E16" s="190"/>
      <c r="F16" s="189"/>
      <c r="G16" s="191"/>
      <c r="H16" s="61">
        <f t="shared" si="0"/>
        <v>0</v>
      </c>
      <c r="I16" s="199"/>
      <c r="J16" s="62">
        <f t="shared" si="1"/>
        <v>0</v>
      </c>
      <c r="K16" s="94">
        <f t="shared" si="2"/>
        <v>0</v>
      </c>
      <c r="L16" s="61">
        <f t="shared" si="3"/>
        <v>0</v>
      </c>
      <c r="M16" s="198"/>
      <c r="N16" s="1379"/>
      <c r="O16" s="1422"/>
      <c r="P16" s="1380"/>
    </row>
    <row r="17" spans="1:16" s="66" customFormat="1" ht="13">
      <c r="A17" s="186"/>
      <c r="B17" s="187"/>
      <c r="C17" s="189"/>
      <c r="D17" s="190"/>
      <c r="E17" s="190"/>
      <c r="F17" s="189"/>
      <c r="G17" s="191"/>
      <c r="H17" s="61">
        <f t="shared" si="0"/>
        <v>0</v>
      </c>
      <c r="I17" s="199"/>
      <c r="J17" s="62">
        <f t="shared" si="1"/>
        <v>0</v>
      </c>
      <c r="K17" s="94">
        <f t="shared" si="2"/>
        <v>0</v>
      </c>
      <c r="L17" s="61">
        <f t="shared" si="3"/>
        <v>0</v>
      </c>
      <c r="M17" s="198"/>
      <c r="N17" s="1379"/>
      <c r="O17" s="1422"/>
      <c r="P17" s="1380"/>
    </row>
    <row r="18" spans="1:16" s="66" customFormat="1" ht="13">
      <c r="A18" s="186"/>
      <c r="B18" s="187"/>
      <c r="C18" s="189"/>
      <c r="D18" s="190"/>
      <c r="E18" s="190"/>
      <c r="F18" s="189"/>
      <c r="G18" s="191"/>
      <c r="H18" s="61">
        <f t="shared" si="0"/>
        <v>0</v>
      </c>
      <c r="I18" s="199"/>
      <c r="J18" s="62">
        <f t="shared" si="1"/>
        <v>0</v>
      </c>
      <c r="K18" s="94">
        <f t="shared" si="2"/>
        <v>0</v>
      </c>
      <c r="L18" s="61">
        <f t="shared" si="3"/>
        <v>0</v>
      </c>
      <c r="M18" s="198"/>
      <c r="N18" s="1379"/>
      <c r="O18" s="1422"/>
      <c r="P18" s="1380"/>
    </row>
    <row r="19" spans="1:16" s="66" customFormat="1" ht="13">
      <c r="A19" s="186"/>
      <c r="B19" s="187"/>
      <c r="C19" s="189"/>
      <c r="D19" s="190"/>
      <c r="E19" s="190"/>
      <c r="F19" s="189"/>
      <c r="G19" s="191"/>
      <c r="H19" s="61">
        <f t="shared" si="0"/>
        <v>0</v>
      </c>
      <c r="I19" s="199"/>
      <c r="J19" s="62">
        <f t="shared" si="1"/>
        <v>0</v>
      </c>
      <c r="K19" s="94">
        <f t="shared" si="2"/>
        <v>0</v>
      </c>
      <c r="L19" s="61">
        <f t="shared" si="3"/>
        <v>0</v>
      </c>
      <c r="M19" s="198"/>
      <c r="N19" s="1379"/>
      <c r="O19" s="1422"/>
      <c r="P19" s="1380"/>
    </row>
    <row r="20" spans="1:16" s="66" customFormat="1" ht="13">
      <c r="A20" s="186"/>
      <c r="B20" s="187"/>
      <c r="C20" s="189"/>
      <c r="D20" s="190"/>
      <c r="E20" s="190"/>
      <c r="F20" s="189"/>
      <c r="G20" s="191"/>
      <c r="H20" s="61">
        <f t="shared" si="0"/>
        <v>0</v>
      </c>
      <c r="I20" s="199"/>
      <c r="J20" s="62">
        <f t="shared" si="1"/>
        <v>0</v>
      </c>
      <c r="K20" s="94">
        <f t="shared" si="2"/>
        <v>0</v>
      </c>
      <c r="L20" s="61">
        <f t="shared" si="3"/>
        <v>0</v>
      </c>
      <c r="M20" s="198"/>
      <c r="N20" s="1379"/>
      <c r="O20" s="1422"/>
      <c r="P20" s="1380"/>
    </row>
    <row r="21" spans="1:16" s="66" customFormat="1" ht="13">
      <c r="A21" s="186"/>
      <c r="B21" s="187"/>
      <c r="C21" s="189"/>
      <c r="D21" s="190"/>
      <c r="E21" s="190"/>
      <c r="F21" s="189"/>
      <c r="G21" s="191"/>
      <c r="H21" s="61">
        <f t="shared" si="0"/>
        <v>0</v>
      </c>
      <c r="I21" s="199"/>
      <c r="J21" s="62">
        <f t="shared" si="1"/>
        <v>0</v>
      </c>
      <c r="K21" s="94">
        <f t="shared" si="2"/>
        <v>0</v>
      </c>
      <c r="L21" s="61">
        <f t="shared" si="3"/>
        <v>0</v>
      </c>
      <c r="M21" s="198"/>
      <c r="N21" s="1379"/>
      <c r="O21" s="1422"/>
      <c r="P21" s="1380"/>
    </row>
    <row r="22" spans="1:16" s="66" customFormat="1" ht="13">
      <c r="A22" s="186"/>
      <c r="B22" s="187"/>
      <c r="C22" s="189"/>
      <c r="D22" s="190"/>
      <c r="E22" s="190"/>
      <c r="F22" s="189"/>
      <c r="G22" s="191"/>
      <c r="H22" s="61">
        <f t="shared" si="0"/>
        <v>0</v>
      </c>
      <c r="I22" s="199"/>
      <c r="J22" s="62">
        <f t="shared" si="1"/>
        <v>0</v>
      </c>
      <c r="K22" s="94">
        <f t="shared" si="2"/>
        <v>0</v>
      </c>
      <c r="L22" s="61">
        <f t="shared" si="3"/>
        <v>0</v>
      </c>
      <c r="M22" s="198"/>
      <c r="N22" s="1379"/>
      <c r="O22" s="1422"/>
      <c r="P22" s="1380"/>
    </row>
    <row r="23" spans="1:16" s="66" customFormat="1" ht="13">
      <c r="A23" s="186"/>
      <c r="B23" s="187"/>
      <c r="C23" s="189"/>
      <c r="D23" s="190"/>
      <c r="E23" s="190"/>
      <c r="F23" s="189"/>
      <c r="G23" s="191"/>
      <c r="H23" s="61">
        <f t="shared" si="0"/>
        <v>0</v>
      </c>
      <c r="I23" s="199"/>
      <c r="J23" s="62">
        <f t="shared" si="1"/>
        <v>0</v>
      </c>
      <c r="K23" s="94">
        <f t="shared" si="2"/>
        <v>0</v>
      </c>
      <c r="L23" s="61">
        <f t="shared" si="3"/>
        <v>0</v>
      </c>
      <c r="M23" s="198"/>
      <c r="N23" s="1379"/>
      <c r="O23" s="1422"/>
      <c r="P23" s="1380"/>
    </row>
    <row r="24" spans="1:16" s="66" customFormat="1" ht="13">
      <c r="A24" s="186"/>
      <c r="B24" s="187"/>
      <c r="C24" s="189"/>
      <c r="D24" s="190"/>
      <c r="E24" s="190"/>
      <c r="F24" s="189"/>
      <c r="G24" s="191"/>
      <c r="H24" s="61">
        <f t="shared" si="0"/>
        <v>0</v>
      </c>
      <c r="I24" s="199"/>
      <c r="J24" s="62">
        <f t="shared" si="1"/>
        <v>0</v>
      </c>
      <c r="K24" s="94">
        <f t="shared" si="2"/>
        <v>0</v>
      </c>
      <c r="L24" s="61">
        <f t="shared" si="3"/>
        <v>0</v>
      </c>
      <c r="M24" s="198"/>
      <c r="N24" s="1379"/>
      <c r="O24" s="1422"/>
      <c r="P24" s="1380"/>
    </row>
    <row r="25" spans="1:16" s="66" customFormat="1" ht="13">
      <c r="A25" s="186"/>
      <c r="B25" s="187"/>
      <c r="C25" s="189"/>
      <c r="D25" s="190"/>
      <c r="E25" s="190"/>
      <c r="F25" s="189"/>
      <c r="G25" s="191"/>
      <c r="H25" s="61">
        <f t="shared" si="0"/>
        <v>0</v>
      </c>
      <c r="I25" s="199"/>
      <c r="J25" s="62">
        <f t="shared" si="1"/>
        <v>0</v>
      </c>
      <c r="K25" s="94">
        <f t="shared" si="2"/>
        <v>0</v>
      </c>
      <c r="L25" s="61">
        <f t="shared" si="3"/>
        <v>0</v>
      </c>
      <c r="M25" s="198"/>
      <c r="N25" s="1379"/>
      <c r="O25" s="1422"/>
      <c r="P25" s="1380"/>
    </row>
    <row r="26" spans="1:16" s="66" customFormat="1" ht="13">
      <c r="A26" s="186"/>
      <c r="B26" s="187"/>
      <c r="C26" s="189"/>
      <c r="D26" s="190"/>
      <c r="E26" s="190"/>
      <c r="F26" s="189"/>
      <c r="G26" s="191"/>
      <c r="H26" s="61">
        <f t="shared" si="0"/>
        <v>0</v>
      </c>
      <c r="I26" s="199"/>
      <c r="J26" s="62">
        <f t="shared" si="1"/>
        <v>0</v>
      </c>
      <c r="K26" s="94">
        <f t="shared" si="2"/>
        <v>0</v>
      </c>
      <c r="L26" s="61">
        <f t="shared" si="3"/>
        <v>0</v>
      </c>
      <c r="M26" s="198"/>
      <c r="N26" s="1379"/>
      <c r="O26" s="1422"/>
      <c r="P26" s="1380"/>
    </row>
    <row r="27" spans="1:16" s="66" customFormat="1" ht="13">
      <c r="A27" s="186"/>
      <c r="B27" s="187"/>
      <c r="C27" s="189"/>
      <c r="D27" s="190"/>
      <c r="E27" s="190"/>
      <c r="F27" s="189"/>
      <c r="G27" s="191"/>
      <c r="H27" s="61">
        <f t="shared" si="0"/>
        <v>0</v>
      </c>
      <c r="I27" s="199"/>
      <c r="J27" s="62">
        <f t="shared" si="1"/>
        <v>0</v>
      </c>
      <c r="K27" s="94">
        <f t="shared" si="2"/>
        <v>0</v>
      </c>
      <c r="L27" s="61">
        <f t="shared" si="3"/>
        <v>0</v>
      </c>
      <c r="M27" s="198"/>
      <c r="N27" s="1379"/>
      <c r="O27" s="1422"/>
      <c r="P27" s="1380"/>
    </row>
    <row r="28" spans="1:16" s="66" customFormat="1" ht="13">
      <c r="A28" s="186"/>
      <c r="B28" s="187"/>
      <c r="C28" s="189"/>
      <c r="D28" s="190"/>
      <c r="E28" s="190"/>
      <c r="F28" s="189"/>
      <c r="G28" s="191"/>
      <c r="H28" s="61">
        <f t="shared" si="0"/>
        <v>0</v>
      </c>
      <c r="I28" s="199"/>
      <c r="J28" s="62">
        <f t="shared" si="1"/>
        <v>0</v>
      </c>
      <c r="K28" s="94">
        <f t="shared" si="2"/>
        <v>0</v>
      </c>
      <c r="L28" s="61">
        <f t="shared" si="3"/>
        <v>0</v>
      </c>
      <c r="M28" s="198"/>
      <c r="N28" s="1379"/>
      <c r="O28" s="1422"/>
      <c r="P28" s="1380"/>
    </row>
    <row r="29" spans="1:16" s="66" customFormat="1" ht="13">
      <c r="A29" s="186"/>
      <c r="B29" s="187"/>
      <c r="C29" s="189"/>
      <c r="D29" s="190"/>
      <c r="E29" s="190"/>
      <c r="F29" s="189"/>
      <c r="G29" s="191"/>
      <c r="H29" s="61">
        <f t="shared" si="0"/>
        <v>0</v>
      </c>
      <c r="I29" s="199"/>
      <c r="J29" s="62">
        <f t="shared" si="1"/>
        <v>0</v>
      </c>
      <c r="K29" s="94">
        <f t="shared" si="2"/>
        <v>0</v>
      </c>
      <c r="L29" s="61">
        <f t="shared" si="3"/>
        <v>0</v>
      </c>
      <c r="M29" s="198"/>
      <c r="N29" s="1379"/>
      <c r="O29" s="1422"/>
      <c r="P29" s="1380"/>
    </row>
    <row r="30" spans="1:16" s="66" customFormat="1" ht="13">
      <c r="A30" s="186"/>
      <c r="B30" s="187"/>
      <c r="C30" s="189"/>
      <c r="D30" s="190"/>
      <c r="E30" s="190"/>
      <c r="F30" s="189"/>
      <c r="G30" s="191"/>
      <c r="H30" s="61">
        <f t="shared" si="0"/>
        <v>0</v>
      </c>
      <c r="I30" s="199"/>
      <c r="J30" s="62">
        <f t="shared" si="1"/>
        <v>0</v>
      </c>
      <c r="K30" s="94">
        <f t="shared" si="2"/>
        <v>0</v>
      </c>
      <c r="L30" s="61">
        <f t="shared" si="3"/>
        <v>0</v>
      </c>
      <c r="M30" s="198"/>
      <c r="N30" s="1379"/>
      <c r="O30" s="1422"/>
      <c r="P30" s="1380"/>
    </row>
    <row r="31" spans="1:16" s="66" customFormat="1" ht="13">
      <c r="A31" s="186"/>
      <c r="B31" s="187"/>
      <c r="C31" s="189"/>
      <c r="D31" s="190"/>
      <c r="E31" s="190"/>
      <c r="F31" s="189"/>
      <c r="G31" s="191"/>
      <c r="H31" s="61">
        <f t="shared" si="0"/>
        <v>0</v>
      </c>
      <c r="I31" s="199"/>
      <c r="J31" s="62">
        <f t="shared" si="1"/>
        <v>0</v>
      </c>
      <c r="K31" s="94">
        <f t="shared" si="2"/>
        <v>0</v>
      </c>
      <c r="L31" s="61">
        <f t="shared" si="3"/>
        <v>0</v>
      </c>
      <c r="M31" s="198"/>
      <c r="N31" s="1379"/>
      <c r="O31" s="1422"/>
      <c r="P31" s="1380"/>
    </row>
    <row r="32" spans="1:16" s="66" customFormat="1" ht="13">
      <c r="A32" s="186"/>
      <c r="B32" s="187"/>
      <c r="C32" s="189"/>
      <c r="D32" s="190"/>
      <c r="E32" s="190"/>
      <c r="F32" s="189"/>
      <c r="G32" s="191"/>
      <c r="H32" s="61">
        <f t="shared" si="0"/>
        <v>0</v>
      </c>
      <c r="I32" s="199"/>
      <c r="J32" s="62">
        <f t="shared" si="1"/>
        <v>0</v>
      </c>
      <c r="K32" s="94">
        <f t="shared" si="2"/>
        <v>0</v>
      </c>
      <c r="L32" s="61">
        <f t="shared" si="3"/>
        <v>0</v>
      </c>
      <c r="M32" s="198"/>
      <c r="N32" s="1379"/>
      <c r="O32" s="1422"/>
      <c r="P32" s="1380"/>
    </row>
    <row r="33" spans="1:16" s="66" customFormat="1" ht="13">
      <c r="A33" s="186"/>
      <c r="B33" s="187"/>
      <c r="C33" s="189"/>
      <c r="D33" s="190"/>
      <c r="E33" s="190"/>
      <c r="F33" s="189"/>
      <c r="G33" s="191"/>
      <c r="H33" s="61">
        <f t="shared" si="0"/>
        <v>0</v>
      </c>
      <c r="I33" s="199"/>
      <c r="J33" s="62">
        <f t="shared" si="1"/>
        <v>0</v>
      </c>
      <c r="K33" s="94">
        <f t="shared" si="2"/>
        <v>0</v>
      </c>
      <c r="L33" s="61">
        <f t="shared" si="3"/>
        <v>0</v>
      </c>
      <c r="M33" s="198"/>
      <c r="N33" s="1379"/>
      <c r="O33" s="1422"/>
      <c r="P33" s="1380"/>
    </row>
    <row r="34" spans="1:16" s="66" customFormat="1" ht="13">
      <c r="A34" s="186"/>
      <c r="B34" s="187"/>
      <c r="C34" s="189"/>
      <c r="D34" s="190"/>
      <c r="E34" s="190"/>
      <c r="F34" s="189"/>
      <c r="G34" s="191"/>
      <c r="H34" s="61">
        <f t="shared" si="0"/>
        <v>0</v>
      </c>
      <c r="I34" s="199"/>
      <c r="J34" s="62">
        <f t="shared" si="1"/>
        <v>0</v>
      </c>
      <c r="K34" s="94">
        <f t="shared" si="2"/>
        <v>0</v>
      </c>
      <c r="L34" s="61">
        <f t="shared" si="3"/>
        <v>0</v>
      </c>
      <c r="M34" s="198"/>
      <c r="N34" s="1379"/>
      <c r="O34" s="1422"/>
      <c r="P34" s="1380"/>
    </row>
    <row r="35" spans="1:16" s="66" customFormat="1" ht="13">
      <c r="A35" s="186"/>
      <c r="B35" s="187"/>
      <c r="C35" s="189"/>
      <c r="D35" s="190"/>
      <c r="E35" s="190"/>
      <c r="F35" s="189"/>
      <c r="G35" s="191"/>
      <c r="H35" s="61">
        <f t="shared" si="0"/>
        <v>0</v>
      </c>
      <c r="I35" s="199"/>
      <c r="J35" s="62">
        <f t="shared" si="1"/>
        <v>0</v>
      </c>
      <c r="K35" s="94">
        <f t="shared" si="2"/>
        <v>0</v>
      </c>
      <c r="L35" s="61">
        <f t="shared" si="3"/>
        <v>0</v>
      </c>
      <c r="M35" s="198"/>
      <c r="N35" s="1379"/>
      <c r="O35" s="1422"/>
      <c r="P35" s="1380"/>
    </row>
    <row r="36" spans="1:16" s="66" customFormat="1" ht="13">
      <c r="A36" s="186"/>
      <c r="B36" s="187"/>
      <c r="C36" s="189"/>
      <c r="D36" s="190"/>
      <c r="E36" s="190"/>
      <c r="F36" s="189"/>
      <c r="G36" s="191"/>
      <c r="H36" s="61">
        <f t="shared" si="0"/>
        <v>0</v>
      </c>
      <c r="I36" s="199"/>
      <c r="J36" s="62">
        <f t="shared" si="1"/>
        <v>0</v>
      </c>
      <c r="K36" s="94">
        <f t="shared" si="2"/>
        <v>0</v>
      </c>
      <c r="L36" s="61">
        <f t="shared" si="3"/>
        <v>0</v>
      </c>
      <c r="M36" s="198"/>
      <c r="N36" s="1379"/>
      <c r="O36" s="1422"/>
      <c r="P36" s="1380"/>
    </row>
    <row r="37" spans="1:16" s="66" customFormat="1" ht="13">
      <c r="A37" s="186"/>
      <c r="B37" s="187"/>
      <c r="C37" s="189"/>
      <c r="D37" s="190"/>
      <c r="E37" s="190"/>
      <c r="F37" s="189"/>
      <c r="G37" s="191"/>
      <c r="H37" s="61">
        <f t="shared" si="0"/>
        <v>0</v>
      </c>
      <c r="I37" s="199"/>
      <c r="J37" s="62">
        <f t="shared" si="1"/>
        <v>0</v>
      </c>
      <c r="K37" s="94">
        <f t="shared" si="2"/>
        <v>0</v>
      </c>
      <c r="L37" s="61">
        <f t="shared" si="3"/>
        <v>0</v>
      </c>
      <c r="M37" s="198"/>
      <c r="N37" s="1379"/>
      <c r="O37" s="1422"/>
      <c r="P37" s="1380"/>
    </row>
    <row r="38" spans="1:16" s="66" customFormat="1" ht="13">
      <c r="A38" s="186"/>
      <c r="B38" s="187"/>
      <c r="C38" s="189"/>
      <c r="D38" s="190"/>
      <c r="E38" s="190"/>
      <c r="F38" s="189"/>
      <c r="G38" s="191"/>
      <c r="H38" s="61">
        <f t="shared" si="0"/>
        <v>0</v>
      </c>
      <c r="I38" s="199"/>
      <c r="J38" s="62">
        <f t="shared" si="1"/>
        <v>0</v>
      </c>
      <c r="K38" s="94">
        <f t="shared" si="2"/>
        <v>0</v>
      </c>
      <c r="L38" s="61">
        <f t="shared" si="3"/>
        <v>0</v>
      </c>
      <c r="M38" s="198"/>
      <c r="N38" s="1379"/>
      <c r="O38" s="1422"/>
      <c r="P38" s="1380"/>
    </row>
    <row r="39" spans="1:16" s="66" customFormat="1" ht="13">
      <c r="A39" s="186"/>
      <c r="B39" s="187"/>
      <c r="C39" s="189"/>
      <c r="D39" s="190"/>
      <c r="E39" s="190"/>
      <c r="F39" s="189"/>
      <c r="G39" s="191"/>
      <c r="H39" s="61">
        <f t="shared" si="0"/>
        <v>0</v>
      </c>
      <c r="I39" s="199"/>
      <c r="J39" s="62">
        <f t="shared" si="1"/>
        <v>0</v>
      </c>
      <c r="K39" s="94">
        <f t="shared" si="2"/>
        <v>0</v>
      </c>
      <c r="L39" s="61">
        <f t="shared" si="3"/>
        <v>0</v>
      </c>
      <c r="M39" s="198"/>
      <c r="N39" s="1379"/>
      <c r="O39" s="1422"/>
      <c r="P39" s="1380"/>
    </row>
    <row r="40" spans="1:16" s="66" customFormat="1" ht="13">
      <c r="A40" s="186"/>
      <c r="B40" s="187"/>
      <c r="C40" s="189"/>
      <c r="D40" s="190"/>
      <c r="E40" s="190"/>
      <c r="F40" s="189"/>
      <c r="G40" s="191"/>
      <c r="H40" s="61">
        <f t="shared" si="0"/>
        <v>0</v>
      </c>
      <c r="I40" s="199"/>
      <c r="J40" s="62">
        <f t="shared" si="1"/>
        <v>0</v>
      </c>
      <c r="K40" s="94">
        <f t="shared" si="2"/>
        <v>0</v>
      </c>
      <c r="L40" s="61">
        <f t="shared" si="3"/>
        <v>0</v>
      </c>
      <c r="M40" s="198"/>
      <c r="N40" s="1379"/>
      <c r="O40" s="1422"/>
      <c r="P40" s="1380"/>
    </row>
    <row r="41" spans="1:16" s="66" customFormat="1" ht="13">
      <c r="A41" s="186"/>
      <c r="B41" s="187"/>
      <c r="C41" s="189"/>
      <c r="D41" s="190"/>
      <c r="E41" s="190"/>
      <c r="F41" s="189"/>
      <c r="G41" s="191"/>
      <c r="H41" s="61">
        <f t="shared" si="0"/>
        <v>0</v>
      </c>
      <c r="I41" s="199"/>
      <c r="J41" s="62">
        <f t="shared" si="1"/>
        <v>0</v>
      </c>
      <c r="K41" s="94">
        <f t="shared" si="2"/>
        <v>0</v>
      </c>
      <c r="L41" s="61">
        <f t="shared" si="3"/>
        <v>0</v>
      </c>
      <c r="M41" s="198"/>
      <c r="N41" s="1379"/>
      <c r="O41" s="1422"/>
      <c r="P41" s="1380"/>
    </row>
    <row r="42" spans="1:16" s="66" customFormat="1" ht="13">
      <c r="A42" s="186"/>
      <c r="B42" s="187"/>
      <c r="C42" s="189"/>
      <c r="D42" s="190"/>
      <c r="E42" s="190"/>
      <c r="F42" s="189"/>
      <c r="G42" s="191"/>
      <c r="H42" s="61">
        <f t="shared" si="0"/>
        <v>0</v>
      </c>
      <c r="I42" s="199"/>
      <c r="J42" s="62">
        <f t="shared" si="1"/>
        <v>0</v>
      </c>
      <c r="K42" s="94">
        <f t="shared" si="2"/>
        <v>0</v>
      </c>
      <c r="L42" s="61">
        <f t="shared" si="3"/>
        <v>0</v>
      </c>
      <c r="M42" s="198"/>
      <c r="N42" s="1379"/>
      <c r="O42" s="1422"/>
      <c r="P42" s="1380"/>
    </row>
    <row r="43" spans="1:16" s="66" customFormat="1" ht="13">
      <c r="A43" s="186"/>
      <c r="B43" s="187"/>
      <c r="C43" s="189"/>
      <c r="D43" s="190"/>
      <c r="E43" s="190"/>
      <c r="F43" s="189"/>
      <c r="G43" s="191"/>
      <c r="H43" s="61">
        <f t="shared" si="0"/>
        <v>0</v>
      </c>
      <c r="I43" s="199"/>
      <c r="J43" s="62">
        <f t="shared" si="1"/>
        <v>0</v>
      </c>
      <c r="K43" s="94">
        <f t="shared" si="2"/>
        <v>0</v>
      </c>
      <c r="L43" s="61">
        <f t="shared" si="3"/>
        <v>0</v>
      </c>
      <c r="M43" s="198"/>
      <c r="N43" s="1379"/>
      <c r="O43" s="1422"/>
      <c r="P43" s="1380"/>
    </row>
    <row r="44" spans="1:16" s="66" customFormat="1" ht="13">
      <c r="A44" s="186"/>
      <c r="B44" s="187"/>
      <c r="C44" s="189"/>
      <c r="D44" s="190"/>
      <c r="E44" s="190"/>
      <c r="F44" s="189"/>
      <c r="G44" s="191"/>
      <c r="H44" s="61">
        <f t="shared" si="0"/>
        <v>0</v>
      </c>
      <c r="I44" s="199"/>
      <c r="J44" s="62">
        <f t="shared" si="1"/>
        <v>0</v>
      </c>
      <c r="K44" s="94">
        <f t="shared" si="2"/>
        <v>0</v>
      </c>
      <c r="L44" s="61">
        <f t="shared" si="3"/>
        <v>0</v>
      </c>
      <c r="M44" s="198"/>
      <c r="N44" s="1379"/>
      <c r="O44" s="1422"/>
      <c r="P44" s="1380"/>
    </row>
    <row r="45" spans="1:16" s="66" customFormat="1" ht="13">
      <c r="A45" s="186"/>
      <c r="B45" s="187"/>
      <c r="C45" s="189"/>
      <c r="D45" s="190"/>
      <c r="E45" s="190"/>
      <c r="F45" s="189"/>
      <c r="G45" s="191"/>
      <c r="H45" s="61">
        <f t="shared" si="0"/>
        <v>0</v>
      </c>
      <c r="I45" s="199"/>
      <c r="J45" s="62">
        <f t="shared" si="1"/>
        <v>0</v>
      </c>
      <c r="K45" s="94">
        <f t="shared" si="2"/>
        <v>0</v>
      </c>
      <c r="L45" s="61">
        <f t="shared" si="3"/>
        <v>0</v>
      </c>
      <c r="M45" s="198"/>
      <c r="N45" s="1379"/>
      <c r="O45" s="1422"/>
      <c r="P45" s="1380"/>
    </row>
    <row r="46" spans="1:16" s="66" customFormat="1" ht="13">
      <c r="A46" s="186"/>
      <c r="B46" s="187"/>
      <c r="C46" s="189"/>
      <c r="D46" s="190"/>
      <c r="E46" s="190"/>
      <c r="F46" s="189"/>
      <c r="G46" s="191"/>
      <c r="H46" s="61">
        <f t="shared" si="0"/>
        <v>0</v>
      </c>
      <c r="I46" s="199"/>
      <c r="J46" s="62">
        <f t="shared" si="1"/>
        <v>0</v>
      </c>
      <c r="K46" s="94">
        <f t="shared" si="2"/>
        <v>0</v>
      </c>
      <c r="L46" s="61">
        <f t="shared" si="3"/>
        <v>0</v>
      </c>
      <c r="M46" s="198"/>
      <c r="N46" s="1379"/>
      <c r="O46" s="1422"/>
      <c r="P46" s="1380"/>
    </row>
    <row r="47" spans="1:16" s="66" customFormat="1" ht="13">
      <c r="A47" s="186"/>
      <c r="B47" s="187"/>
      <c r="C47" s="189"/>
      <c r="D47" s="190"/>
      <c r="E47" s="190"/>
      <c r="F47" s="189"/>
      <c r="G47" s="191"/>
      <c r="H47" s="61">
        <f t="shared" si="0"/>
        <v>0</v>
      </c>
      <c r="I47" s="199"/>
      <c r="J47" s="62">
        <f t="shared" si="1"/>
        <v>0</v>
      </c>
      <c r="K47" s="94">
        <f t="shared" si="2"/>
        <v>0</v>
      </c>
      <c r="L47" s="61">
        <f t="shared" si="3"/>
        <v>0</v>
      </c>
      <c r="M47" s="198"/>
      <c r="N47" s="1379"/>
      <c r="O47" s="1422"/>
      <c r="P47" s="1380"/>
    </row>
    <row r="48" spans="1:16" s="66" customFormat="1" ht="13">
      <c r="A48" s="186"/>
      <c r="B48" s="187"/>
      <c r="C48" s="189"/>
      <c r="D48" s="190"/>
      <c r="E48" s="190"/>
      <c r="F48" s="189"/>
      <c r="G48" s="191"/>
      <c r="H48" s="61">
        <f t="shared" si="0"/>
        <v>0</v>
      </c>
      <c r="I48" s="199"/>
      <c r="J48" s="62">
        <f t="shared" si="1"/>
        <v>0</v>
      </c>
      <c r="K48" s="94">
        <f t="shared" si="2"/>
        <v>0</v>
      </c>
      <c r="L48" s="61">
        <f t="shared" si="3"/>
        <v>0</v>
      </c>
      <c r="M48" s="198"/>
      <c r="N48" s="1379"/>
      <c r="O48" s="1422"/>
      <c r="P48" s="1380"/>
    </row>
    <row r="49" spans="1:16" s="66" customFormat="1" ht="13">
      <c r="A49" s="186"/>
      <c r="B49" s="187"/>
      <c r="C49" s="189"/>
      <c r="D49" s="190"/>
      <c r="E49" s="190"/>
      <c r="F49" s="189"/>
      <c r="G49" s="191"/>
      <c r="H49" s="61">
        <f t="shared" si="0"/>
        <v>0</v>
      </c>
      <c r="I49" s="199"/>
      <c r="J49" s="62">
        <f t="shared" si="1"/>
        <v>0</v>
      </c>
      <c r="K49" s="94">
        <f t="shared" si="2"/>
        <v>0</v>
      </c>
      <c r="L49" s="61">
        <f t="shared" si="3"/>
        <v>0</v>
      </c>
      <c r="M49" s="198"/>
      <c r="N49" s="1379"/>
      <c r="O49" s="1422"/>
      <c r="P49" s="1380"/>
    </row>
    <row r="50" spans="1:16" s="66" customFormat="1" ht="13">
      <c r="A50" s="186"/>
      <c r="B50" s="187"/>
      <c r="C50" s="189"/>
      <c r="D50" s="190"/>
      <c r="E50" s="190"/>
      <c r="F50" s="189"/>
      <c r="G50" s="191"/>
      <c r="H50" s="61">
        <f t="shared" si="0"/>
        <v>0</v>
      </c>
      <c r="I50" s="199"/>
      <c r="J50" s="62">
        <f t="shared" si="1"/>
        <v>0</v>
      </c>
      <c r="K50" s="94">
        <f t="shared" si="2"/>
        <v>0</v>
      </c>
      <c r="L50" s="61">
        <f t="shared" si="3"/>
        <v>0</v>
      </c>
      <c r="M50" s="198"/>
      <c r="N50" s="1379"/>
      <c r="O50" s="1422"/>
      <c r="P50" s="1380"/>
    </row>
    <row r="51" spans="1:16" s="66" customFormat="1" ht="13">
      <c r="A51" s="186"/>
      <c r="B51" s="187"/>
      <c r="C51" s="189"/>
      <c r="D51" s="190"/>
      <c r="E51" s="190"/>
      <c r="F51" s="189"/>
      <c r="G51" s="191"/>
      <c r="H51" s="61">
        <f t="shared" si="0"/>
        <v>0</v>
      </c>
      <c r="I51" s="199"/>
      <c r="J51" s="62">
        <f t="shared" si="1"/>
        <v>0</v>
      </c>
      <c r="K51" s="94">
        <f t="shared" si="2"/>
        <v>0</v>
      </c>
      <c r="L51" s="61">
        <f t="shared" si="3"/>
        <v>0</v>
      </c>
      <c r="M51" s="198"/>
      <c r="N51" s="1379"/>
      <c r="O51" s="1422"/>
      <c r="P51" s="1380"/>
    </row>
    <row r="52" spans="1:16" s="66" customFormat="1" ht="13">
      <c r="A52" s="186"/>
      <c r="B52" s="187"/>
      <c r="C52" s="189"/>
      <c r="D52" s="190"/>
      <c r="E52" s="190"/>
      <c r="F52" s="189"/>
      <c r="G52" s="191"/>
      <c r="H52" s="61">
        <f t="shared" si="0"/>
        <v>0</v>
      </c>
      <c r="I52" s="199"/>
      <c r="J52" s="62">
        <f t="shared" si="1"/>
        <v>0</v>
      </c>
      <c r="K52" s="94">
        <f t="shared" si="2"/>
        <v>0</v>
      </c>
      <c r="L52" s="61">
        <f t="shared" si="3"/>
        <v>0</v>
      </c>
      <c r="M52" s="198"/>
      <c r="N52" s="1379"/>
      <c r="O52" s="1422"/>
      <c r="P52" s="1380"/>
    </row>
    <row r="53" spans="1:16" s="66" customFormat="1" ht="13">
      <c r="A53" s="186"/>
      <c r="B53" s="187"/>
      <c r="C53" s="189"/>
      <c r="D53" s="190"/>
      <c r="E53" s="190"/>
      <c r="F53" s="189"/>
      <c r="G53" s="191"/>
      <c r="H53" s="61">
        <f t="shared" si="0"/>
        <v>0</v>
      </c>
      <c r="I53" s="199"/>
      <c r="J53" s="62">
        <f t="shared" si="1"/>
        <v>0</v>
      </c>
      <c r="K53" s="94">
        <f t="shared" si="2"/>
        <v>0</v>
      </c>
      <c r="L53" s="61">
        <f t="shared" si="3"/>
        <v>0</v>
      </c>
      <c r="M53" s="198"/>
      <c r="N53" s="1379"/>
      <c r="O53" s="1422"/>
      <c r="P53" s="1380"/>
    </row>
    <row r="54" spans="1:16" s="66" customFormat="1" ht="13">
      <c r="A54" s="186"/>
      <c r="B54" s="187"/>
      <c r="C54" s="189"/>
      <c r="D54" s="190"/>
      <c r="E54" s="190"/>
      <c r="F54" s="189"/>
      <c r="G54" s="191"/>
      <c r="H54" s="61">
        <f t="shared" si="0"/>
        <v>0</v>
      </c>
      <c r="I54" s="199"/>
      <c r="J54" s="62">
        <f t="shared" si="1"/>
        <v>0</v>
      </c>
      <c r="K54" s="94">
        <f t="shared" si="2"/>
        <v>0</v>
      </c>
      <c r="L54" s="61">
        <f t="shared" si="3"/>
        <v>0</v>
      </c>
      <c r="M54" s="198"/>
      <c r="N54" s="1379"/>
      <c r="O54" s="1422"/>
      <c r="P54" s="1380"/>
    </row>
    <row r="55" spans="1:16" s="66" customFormat="1" ht="13">
      <c r="A55" s="186"/>
      <c r="B55" s="187"/>
      <c r="C55" s="189"/>
      <c r="D55" s="190"/>
      <c r="E55" s="190"/>
      <c r="F55" s="189"/>
      <c r="G55" s="191"/>
      <c r="H55" s="61">
        <f t="shared" si="0"/>
        <v>0</v>
      </c>
      <c r="I55" s="199"/>
      <c r="J55" s="62">
        <f t="shared" si="1"/>
        <v>0</v>
      </c>
      <c r="K55" s="94">
        <f t="shared" si="2"/>
        <v>0</v>
      </c>
      <c r="L55" s="61">
        <f t="shared" si="3"/>
        <v>0</v>
      </c>
      <c r="M55" s="198"/>
      <c r="N55" s="1379"/>
      <c r="O55" s="1422"/>
      <c r="P55" s="1380"/>
    </row>
    <row r="56" spans="1:16" s="66" customFormat="1" ht="13">
      <c r="A56" s="186"/>
      <c r="B56" s="187"/>
      <c r="C56" s="189"/>
      <c r="D56" s="190"/>
      <c r="E56" s="190"/>
      <c r="F56" s="189"/>
      <c r="G56" s="191"/>
      <c r="H56" s="61">
        <f t="shared" si="0"/>
        <v>0</v>
      </c>
      <c r="I56" s="199"/>
      <c r="J56" s="62">
        <f t="shared" si="1"/>
        <v>0</v>
      </c>
      <c r="K56" s="94">
        <f t="shared" si="2"/>
        <v>0</v>
      </c>
      <c r="L56" s="61">
        <f t="shared" si="3"/>
        <v>0</v>
      </c>
      <c r="M56" s="198"/>
      <c r="N56" s="1379"/>
      <c r="O56" s="1422"/>
      <c r="P56" s="1380"/>
    </row>
    <row r="57" spans="1:16" s="66" customFormat="1" ht="13">
      <c r="A57" s="186"/>
      <c r="B57" s="187"/>
      <c r="C57" s="189"/>
      <c r="D57" s="190"/>
      <c r="E57" s="190"/>
      <c r="F57" s="189"/>
      <c r="G57" s="191"/>
      <c r="H57" s="61">
        <f t="shared" si="0"/>
        <v>0</v>
      </c>
      <c r="I57" s="199"/>
      <c r="J57" s="62">
        <f t="shared" si="1"/>
        <v>0</v>
      </c>
      <c r="K57" s="94">
        <f t="shared" si="2"/>
        <v>0</v>
      </c>
      <c r="L57" s="61">
        <f t="shared" si="3"/>
        <v>0</v>
      </c>
      <c r="M57" s="198"/>
      <c r="N57" s="1379"/>
      <c r="O57" s="1422"/>
      <c r="P57" s="1380"/>
    </row>
    <row r="58" spans="1:16" s="66" customFormat="1" ht="13">
      <c r="A58" s="186"/>
      <c r="B58" s="187"/>
      <c r="C58" s="189"/>
      <c r="D58" s="190"/>
      <c r="E58" s="190"/>
      <c r="F58" s="189"/>
      <c r="G58" s="191"/>
      <c r="H58" s="61">
        <f t="shared" si="0"/>
        <v>0</v>
      </c>
      <c r="I58" s="199"/>
      <c r="J58" s="62">
        <f t="shared" si="1"/>
        <v>0</v>
      </c>
      <c r="K58" s="94">
        <f t="shared" si="2"/>
        <v>0</v>
      </c>
      <c r="L58" s="61">
        <f t="shared" si="3"/>
        <v>0</v>
      </c>
      <c r="M58" s="198"/>
      <c r="N58" s="1379"/>
      <c r="O58" s="1422"/>
      <c r="P58" s="1380"/>
    </row>
    <row r="59" spans="1:16" s="66" customFormat="1" ht="13">
      <c r="A59" s="186"/>
      <c r="B59" s="187"/>
      <c r="C59" s="189"/>
      <c r="D59" s="190"/>
      <c r="E59" s="190"/>
      <c r="F59" s="189"/>
      <c r="G59" s="191"/>
      <c r="H59" s="61">
        <f t="shared" si="0"/>
        <v>0</v>
      </c>
      <c r="I59" s="199"/>
      <c r="J59" s="62">
        <f t="shared" si="1"/>
        <v>0</v>
      </c>
      <c r="K59" s="94">
        <f t="shared" si="2"/>
        <v>0</v>
      </c>
      <c r="L59" s="61">
        <f t="shared" si="3"/>
        <v>0</v>
      </c>
      <c r="M59" s="198"/>
      <c r="N59" s="1379"/>
      <c r="O59" s="1422"/>
      <c r="P59" s="1380"/>
    </row>
    <row r="60" spans="1:16" s="66" customFormat="1" ht="13">
      <c r="A60" s="186"/>
      <c r="B60" s="187"/>
      <c r="C60" s="189"/>
      <c r="D60" s="190"/>
      <c r="E60" s="190"/>
      <c r="F60" s="189"/>
      <c r="G60" s="191"/>
      <c r="H60" s="61">
        <f t="shared" si="0"/>
        <v>0</v>
      </c>
      <c r="I60" s="199"/>
      <c r="J60" s="62">
        <f t="shared" si="1"/>
        <v>0</v>
      </c>
      <c r="K60" s="94">
        <f t="shared" si="2"/>
        <v>0</v>
      </c>
      <c r="L60" s="61">
        <f t="shared" si="3"/>
        <v>0</v>
      </c>
      <c r="M60" s="198"/>
      <c r="N60" s="1379"/>
      <c r="O60" s="1422"/>
      <c r="P60" s="1380"/>
    </row>
    <row r="61" spans="1:16" s="66" customFormat="1" ht="13">
      <c r="A61" s="186"/>
      <c r="B61" s="187"/>
      <c r="C61" s="189"/>
      <c r="D61" s="190"/>
      <c r="E61" s="190"/>
      <c r="F61" s="189"/>
      <c r="G61" s="191"/>
      <c r="H61" s="61">
        <f t="shared" si="0"/>
        <v>0</v>
      </c>
      <c r="I61" s="199"/>
      <c r="J61" s="62">
        <f t="shared" si="1"/>
        <v>0</v>
      </c>
      <c r="K61" s="94">
        <f t="shared" si="2"/>
        <v>0</v>
      </c>
      <c r="L61" s="61">
        <f t="shared" si="3"/>
        <v>0</v>
      </c>
      <c r="M61" s="198"/>
      <c r="N61" s="1379"/>
      <c r="O61" s="1422"/>
      <c r="P61" s="1380"/>
    </row>
    <row r="62" spans="1:16" s="66" customFormat="1" ht="13">
      <c r="A62" s="186"/>
      <c r="B62" s="187"/>
      <c r="C62" s="189"/>
      <c r="D62" s="190"/>
      <c r="E62" s="190"/>
      <c r="F62" s="189"/>
      <c r="G62" s="191"/>
      <c r="H62" s="61">
        <f t="shared" si="0"/>
        <v>0</v>
      </c>
      <c r="I62" s="199"/>
      <c r="J62" s="62">
        <f t="shared" si="1"/>
        <v>0</v>
      </c>
      <c r="K62" s="94">
        <f t="shared" si="2"/>
        <v>0</v>
      </c>
      <c r="L62" s="61">
        <f t="shared" si="3"/>
        <v>0</v>
      </c>
      <c r="M62" s="198"/>
      <c r="N62" s="1379"/>
      <c r="O62" s="1422"/>
      <c r="P62" s="1380"/>
    </row>
    <row r="63" spans="1:16" s="66" customFormat="1" ht="13">
      <c r="A63" s="186"/>
      <c r="B63" s="187"/>
      <c r="C63" s="189"/>
      <c r="D63" s="190"/>
      <c r="E63" s="190"/>
      <c r="F63" s="189"/>
      <c r="G63" s="191"/>
      <c r="H63" s="61">
        <f t="shared" si="0"/>
        <v>0</v>
      </c>
      <c r="I63" s="199"/>
      <c r="J63" s="62">
        <f t="shared" si="1"/>
        <v>0</v>
      </c>
      <c r="K63" s="94">
        <f t="shared" si="2"/>
        <v>0</v>
      </c>
      <c r="L63" s="61">
        <f t="shared" si="3"/>
        <v>0</v>
      </c>
      <c r="M63" s="198"/>
      <c r="N63" s="1379"/>
      <c r="O63" s="1422"/>
      <c r="P63" s="1380"/>
    </row>
    <row r="64" spans="1:16" s="66" customFormat="1" ht="13">
      <c r="A64" s="186"/>
      <c r="B64" s="187"/>
      <c r="C64" s="189"/>
      <c r="D64" s="190"/>
      <c r="E64" s="190"/>
      <c r="F64" s="189"/>
      <c r="G64" s="191"/>
      <c r="H64" s="61">
        <f t="shared" si="0"/>
        <v>0</v>
      </c>
      <c r="I64" s="199"/>
      <c r="J64" s="62">
        <f t="shared" si="1"/>
        <v>0</v>
      </c>
      <c r="K64" s="94">
        <f t="shared" si="2"/>
        <v>0</v>
      </c>
      <c r="L64" s="61">
        <f t="shared" si="3"/>
        <v>0</v>
      </c>
      <c r="M64" s="198"/>
      <c r="N64" s="1379"/>
      <c r="O64" s="1422"/>
      <c r="P64" s="1380"/>
    </row>
    <row r="65" spans="1:16" s="66" customFormat="1" ht="13">
      <c r="A65" s="186"/>
      <c r="B65" s="187"/>
      <c r="C65" s="189"/>
      <c r="D65" s="190"/>
      <c r="E65" s="190"/>
      <c r="F65" s="189"/>
      <c r="G65" s="191"/>
      <c r="H65" s="61">
        <f t="shared" si="0"/>
        <v>0</v>
      </c>
      <c r="I65" s="199"/>
      <c r="J65" s="62">
        <f t="shared" si="1"/>
        <v>0</v>
      </c>
      <c r="K65" s="94">
        <f t="shared" si="2"/>
        <v>0</v>
      </c>
      <c r="L65" s="61">
        <f t="shared" si="3"/>
        <v>0</v>
      </c>
      <c r="M65" s="198"/>
      <c r="N65" s="1379"/>
      <c r="O65" s="1422"/>
      <c r="P65" s="1380"/>
    </row>
    <row r="66" spans="1:16" s="66" customFormat="1" ht="13">
      <c r="A66" s="186"/>
      <c r="B66" s="187"/>
      <c r="C66" s="189"/>
      <c r="D66" s="190"/>
      <c r="E66" s="190"/>
      <c r="F66" s="189"/>
      <c r="G66" s="191"/>
      <c r="H66" s="61">
        <f t="shared" si="0"/>
        <v>0</v>
      </c>
      <c r="I66" s="199"/>
      <c r="J66" s="62">
        <f t="shared" si="1"/>
        <v>0</v>
      </c>
      <c r="K66" s="94">
        <f t="shared" si="2"/>
        <v>0</v>
      </c>
      <c r="L66" s="61">
        <f t="shared" si="3"/>
        <v>0</v>
      </c>
      <c r="M66" s="198"/>
      <c r="N66" s="1379"/>
      <c r="O66" s="1422"/>
      <c r="P66" s="1380"/>
    </row>
    <row r="67" spans="1:16" s="66" customFormat="1" ht="13">
      <c r="A67" s="186"/>
      <c r="B67" s="187"/>
      <c r="C67" s="189"/>
      <c r="D67" s="190"/>
      <c r="E67" s="190"/>
      <c r="F67" s="189"/>
      <c r="G67" s="191"/>
      <c r="H67" s="61">
        <f t="shared" si="0"/>
        <v>0</v>
      </c>
      <c r="I67" s="199"/>
      <c r="J67" s="62">
        <f t="shared" si="1"/>
        <v>0</v>
      </c>
      <c r="K67" s="94">
        <f t="shared" si="2"/>
        <v>0</v>
      </c>
      <c r="L67" s="61">
        <f t="shared" si="3"/>
        <v>0</v>
      </c>
      <c r="M67" s="198"/>
      <c r="N67" s="1379"/>
      <c r="O67" s="1422"/>
      <c r="P67" s="1380"/>
    </row>
    <row r="68" spans="1:16" s="66" customFormat="1" ht="13">
      <c r="A68" s="186"/>
      <c r="B68" s="187"/>
      <c r="C68" s="189"/>
      <c r="D68" s="190"/>
      <c r="E68" s="190"/>
      <c r="F68" s="189"/>
      <c r="G68" s="191"/>
      <c r="H68" s="61">
        <f t="shared" si="0"/>
        <v>0</v>
      </c>
      <c r="I68" s="199"/>
      <c r="J68" s="62">
        <f t="shared" si="1"/>
        <v>0</v>
      </c>
      <c r="K68" s="94">
        <f t="shared" si="2"/>
        <v>0</v>
      </c>
      <c r="L68" s="61">
        <f t="shared" si="3"/>
        <v>0</v>
      </c>
      <c r="M68" s="198"/>
      <c r="N68" s="1379"/>
      <c r="O68" s="1422"/>
      <c r="P68" s="1380"/>
    </row>
    <row r="69" spans="1:16" s="66" customFormat="1" ht="13">
      <c r="A69" s="186"/>
      <c r="B69" s="187"/>
      <c r="C69" s="189"/>
      <c r="D69" s="190"/>
      <c r="E69" s="190"/>
      <c r="F69" s="189"/>
      <c r="G69" s="191"/>
      <c r="H69" s="61">
        <f t="shared" si="0"/>
        <v>0</v>
      </c>
      <c r="I69" s="199"/>
      <c r="J69" s="62">
        <f t="shared" si="1"/>
        <v>0</v>
      </c>
      <c r="K69" s="94">
        <f t="shared" si="2"/>
        <v>0</v>
      </c>
      <c r="L69" s="61">
        <f t="shared" si="3"/>
        <v>0</v>
      </c>
      <c r="M69" s="198"/>
      <c r="N69" s="1379"/>
      <c r="O69" s="1422"/>
      <c r="P69" s="1380"/>
    </row>
    <row r="70" spans="1:16" s="66" customFormat="1" ht="13">
      <c r="A70" s="186"/>
      <c r="B70" s="187"/>
      <c r="C70" s="189"/>
      <c r="D70" s="190"/>
      <c r="E70" s="190"/>
      <c r="F70" s="189"/>
      <c r="G70" s="191"/>
      <c r="H70" s="61">
        <f t="shared" si="0"/>
        <v>0</v>
      </c>
      <c r="I70" s="199"/>
      <c r="J70" s="62">
        <f t="shared" si="1"/>
        <v>0</v>
      </c>
      <c r="K70" s="94">
        <f t="shared" si="2"/>
        <v>0</v>
      </c>
      <c r="L70" s="61">
        <f t="shared" si="3"/>
        <v>0</v>
      </c>
      <c r="M70" s="198"/>
      <c r="N70" s="1379"/>
      <c r="O70" s="1422"/>
      <c r="P70" s="1380"/>
    </row>
    <row r="71" spans="1:16" s="66" customFormat="1" ht="13">
      <c r="A71" s="186"/>
      <c r="B71" s="187"/>
      <c r="C71" s="189"/>
      <c r="D71" s="190"/>
      <c r="E71" s="190"/>
      <c r="F71" s="189"/>
      <c r="G71" s="191"/>
      <c r="H71" s="61">
        <f t="shared" si="0"/>
        <v>0</v>
      </c>
      <c r="I71" s="199"/>
      <c r="J71" s="62">
        <f t="shared" si="1"/>
        <v>0</v>
      </c>
      <c r="K71" s="94">
        <f t="shared" si="2"/>
        <v>0</v>
      </c>
      <c r="L71" s="61">
        <f t="shared" si="3"/>
        <v>0</v>
      </c>
      <c r="M71" s="198"/>
      <c r="N71" s="1379"/>
      <c r="O71" s="1422"/>
      <c r="P71" s="1380"/>
    </row>
    <row r="72" spans="1:16" s="66" customFormat="1" ht="13">
      <c r="A72" s="186"/>
      <c r="B72" s="187"/>
      <c r="C72" s="189"/>
      <c r="D72" s="190"/>
      <c r="E72" s="190"/>
      <c r="F72" s="189"/>
      <c r="G72" s="191"/>
      <c r="H72" s="61">
        <f t="shared" si="0"/>
        <v>0</v>
      </c>
      <c r="I72" s="199"/>
      <c r="J72" s="62">
        <f t="shared" si="1"/>
        <v>0</v>
      </c>
      <c r="K72" s="94">
        <f t="shared" si="2"/>
        <v>0</v>
      </c>
      <c r="L72" s="61">
        <f t="shared" si="3"/>
        <v>0</v>
      </c>
      <c r="M72" s="198"/>
      <c r="N72" s="1379"/>
      <c r="O72" s="1422"/>
      <c r="P72" s="1380"/>
    </row>
    <row r="73" spans="1:16" s="66" customFormat="1" ht="13">
      <c r="A73" s="186"/>
      <c r="B73" s="187"/>
      <c r="C73" s="189"/>
      <c r="D73" s="190"/>
      <c r="E73" s="190"/>
      <c r="F73" s="189"/>
      <c r="G73" s="191"/>
      <c r="H73" s="61">
        <f t="shared" si="0"/>
        <v>0</v>
      </c>
      <c r="I73" s="199"/>
      <c r="J73" s="62">
        <f t="shared" si="1"/>
        <v>0</v>
      </c>
      <c r="K73" s="94">
        <f t="shared" si="2"/>
        <v>0</v>
      </c>
      <c r="L73" s="61">
        <f t="shared" si="3"/>
        <v>0</v>
      </c>
      <c r="M73" s="198"/>
      <c r="N73" s="1379"/>
      <c r="O73" s="1422"/>
      <c r="P73" s="1380"/>
    </row>
    <row r="74" spans="1:16" s="66" customFormat="1" ht="13">
      <c r="A74" s="186"/>
      <c r="B74" s="187"/>
      <c r="C74" s="189"/>
      <c r="D74" s="190"/>
      <c r="E74" s="190"/>
      <c r="F74" s="189"/>
      <c r="G74" s="191"/>
      <c r="H74" s="61">
        <f t="shared" si="0"/>
        <v>0</v>
      </c>
      <c r="I74" s="199"/>
      <c r="J74" s="62">
        <f t="shared" si="1"/>
        <v>0</v>
      </c>
      <c r="K74" s="94">
        <f t="shared" si="2"/>
        <v>0</v>
      </c>
      <c r="L74" s="61">
        <f t="shared" si="3"/>
        <v>0</v>
      </c>
      <c r="M74" s="198"/>
      <c r="N74" s="1379"/>
      <c r="O74" s="1422"/>
      <c r="P74" s="1380"/>
    </row>
    <row r="75" spans="1:16" s="66" customFormat="1" ht="13">
      <c r="A75" s="186"/>
      <c r="B75" s="187"/>
      <c r="C75" s="189"/>
      <c r="D75" s="190"/>
      <c r="E75" s="190"/>
      <c r="F75" s="189"/>
      <c r="G75" s="191"/>
      <c r="H75" s="61">
        <f t="shared" si="0"/>
        <v>0</v>
      </c>
      <c r="I75" s="199"/>
      <c r="J75" s="62">
        <f t="shared" si="1"/>
        <v>0</v>
      </c>
      <c r="K75" s="94">
        <f t="shared" si="2"/>
        <v>0</v>
      </c>
      <c r="L75" s="61">
        <f t="shared" si="3"/>
        <v>0</v>
      </c>
      <c r="M75" s="198"/>
      <c r="N75" s="1379"/>
      <c r="O75" s="1422"/>
      <c r="P75" s="1380"/>
    </row>
    <row r="76" spans="1:16" s="66" customFormat="1" ht="13">
      <c r="A76" s="186"/>
      <c r="B76" s="187"/>
      <c r="C76" s="189"/>
      <c r="D76" s="190"/>
      <c r="E76" s="190"/>
      <c r="F76" s="189"/>
      <c r="G76" s="191"/>
      <c r="H76" s="61">
        <f t="shared" si="0"/>
        <v>0</v>
      </c>
      <c r="I76" s="199"/>
      <c r="J76" s="62">
        <f t="shared" si="1"/>
        <v>0</v>
      </c>
      <c r="K76" s="94">
        <f t="shared" si="2"/>
        <v>0</v>
      </c>
      <c r="L76" s="61">
        <f t="shared" si="3"/>
        <v>0</v>
      </c>
      <c r="M76" s="198"/>
      <c r="N76" s="1379"/>
      <c r="O76" s="1422"/>
      <c r="P76" s="1380"/>
    </row>
    <row r="77" spans="1:16" s="66" customFormat="1" ht="13">
      <c r="A77" s="186"/>
      <c r="B77" s="187"/>
      <c r="C77" s="189"/>
      <c r="D77" s="190"/>
      <c r="E77" s="190"/>
      <c r="F77" s="189"/>
      <c r="G77" s="191"/>
      <c r="H77" s="61">
        <f t="shared" si="0"/>
        <v>0</v>
      </c>
      <c r="I77" s="199"/>
      <c r="J77" s="62">
        <f t="shared" si="1"/>
        <v>0</v>
      </c>
      <c r="K77" s="94">
        <f t="shared" si="2"/>
        <v>0</v>
      </c>
      <c r="L77" s="61">
        <f t="shared" si="3"/>
        <v>0</v>
      </c>
      <c r="M77" s="198"/>
      <c r="N77" s="1379"/>
      <c r="O77" s="1422"/>
      <c r="P77" s="1380"/>
    </row>
    <row r="78" spans="1:16" s="66" customFormat="1" ht="13">
      <c r="A78" s="186"/>
      <c r="B78" s="187"/>
      <c r="C78" s="189"/>
      <c r="D78" s="190"/>
      <c r="E78" s="190"/>
      <c r="F78" s="189"/>
      <c r="G78" s="191"/>
      <c r="H78" s="61">
        <f t="shared" ref="H78:H141" si="4">IF(F78=0,0,(+G78)/F78)</f>
        <v>0</v>
      </c>
      <c r="I78" s="199"/>
      <c r="J78" s="62">
        <f t="shared" ref="J78:J141" si="5">H78 * I78</f>
        <v>0</v>
      </c>
      <c r="K78" s="94">
        <f t="shared" ref="K78:K141" si="6">I78 - F78</f>
        <v>0</v>
      </c>
      <c r="L78" s="61">
        <f t="shared" ref="L78:L141" si="7">J78-G78</f>
        <v>0</v>
      </c>
      <c r="M78" s="198"/>
      <c r="N78" s="1379"/>
      <c r="O78" s="1422"/>
      <c r="P78" s="1380"/>
    </row>
    <row r="79" spans="1:16" s="66" customFormat="1" ht="13">
      <c r="A79" s="186"/>
      <c r="B79" s="187"/>
      <c r="C79" s="189"/>
      <c r="D79" s="190"/>
      <c r="E79" s="190"/>
      <c r="F79" s="189"/>
      <c r="G79" s="191"/>
      <c r="H79" s="61">
        <f t="shared" si="4"/>
        <v>0</v>
      </c>
      <c r="I79" s="199"/>
      <c r="J79" s="62">
        <f t="shared" si="5"/>
        <v>0</v>
      </c>
      <c r="K79" s="94">
        <f t="shared" si="6"/>
        <v>0</v>
      </c>
      <c r="L79" s="61">
        <f t="shared" si="7"/>
        <v>0</v>
      </c>
      <c r="M79" s="198"/>
      <c r="N79" s="1379"/>
      <c r="O79" s="1422"/>
      <c r="P79" s="1380"/>
    </row>
    <row r="80" spans="1:16" s="66" customFormat="1" ht="13">
      <c r="A80" s="186"/>
      <c r="B80" s="187"/>
      <c r="C80" s="189"/>
      <c r="D80" s="190"/>
      <c r="E80" s="190"/>
      <c r="F80" s="189"/>
      <c r="G80" s="191"/>
      <c r="H80" s="61">
        <f t="shared" si="4"/>
        <v>0</v>
      </c>
      <c r="I80" s="199"/>
      <c r="J80" s="62">
        <f t="shared" si="5"/>
        <v>0</v>
      </c>
      <c r="K80" s="94">
        <f t="shared" si="6"/>
        <v>0</v>
      </c>
      <c r="L80" s="61">
        <f t="shared" si="7"/>
        <v>0</v>
      </c>
      <c r="M80" s="198"/>
      <c r="N80" s="1379"/>
      <c r="O80" s="1422"/>
      <c r="P80" s="1380"/>
    </row>
    <row r="81" spans="1:16" s="66" customFormat="1" ht="13">
      <c r="A81" s="186"/>
      <c r="B81" s="187"/>
      <c r="C81" s="189"/>
      <c r="D81" s="190"/>
      <c r="E81" s="190"/>
      <c r="F81" s="189"/>
      <c r="G81" s="191"/>
      <c r="H81" s="61">
        <f t="shared" si="4"/>
        <v>0</v>
      </c>
      <c r="I81" s="199"/>
      <c r="J81" s="62">
        <f t="shared" si="5"/>
        <v>0</v>
      </c>
      <c r="K81" s="94">
        <f t="shared" si="6"/>
        <v>0</v>
      </c>
      <c r="L81" s="61">
        <f t="shared" si="7"/>
        <v>0</v>
      </c>
      <c r="M81" s="198"/>
      <c r="N81" s="1379"/>
      <c r="O81" s="1422"/>
      <c r="P81" s="1380"/>
    </row>
    <row r="82" spans="1:16" s="66" customFormat="1" ht="13">
      <c r="A82" s="186"/>
      <c r="B82" s="187"/>
      <c r="C82" s="189"/>
      <c r="D82" s="190"/>
      <c r="E82" s="190"/>
      <c r="F82" s="189"/>
      <c r="G82" s="191"/>
      <c r="H82" s="61">
        <f t="shared" si="4"/>
        <v>0</v>
      </c>
      <c r="I82" s="199"/>
      <c r="J82" s="62">
        <f t="shared" si="5"/>
        <v>0</v>
      </c>
      <c r="K82" s="94">
        <f t="shared" si="6"/>
        <v>0</v>
      </c>
      <c r="L82" s="61">
        <f t="shared" si="7"/>
        <v>0</v>
      </c>
      <c r="M82" s="198"/>
      <c r="N82" s="1379"/>
      <c r="O82" s="1422"/>
      <c r="P82" s="1380"/>
    </row>
    <row r="83" spans="1:16" s="66" customFormat="1" ht="13">
      <c r="A83" s="186"/>
      <c r="B83" s="187"/>
      <c r="C83" s="189"/>
      <c r="D83" s="190"/>
      <c r="E83" s="190"/>
      <c r="F83" s="189"/>
      <c r="G83" s="191"/>
      <c r="H83" s="61">
        <f t="shared" si="4"/>
        <v>0</v>
      </c>
      <c r="I83" s="199"/>
      <c r="J83" s="62">
        <f t="shared" si="5"/>
        <v>0</v>
      </c>
      <c r="K83" s="94">
        <f t="shared" si="6"/>
        <v>0</v>
      </c>
      <c r="L83" s="61">
        <f t="shared" si="7"/>
        <v>0</v>
      </c>
      <c r="M83" s="198"/>
      <c r="N83" s="1379"/>
      <c r="O83" s="1422"/>
      <c r="P83" s="1380"/>
    </row>
    <row r="84" spans="1:16" s="66" customFormat="1" ht="13">
      <c r="A84" s="186"/>
      <c r="B84" s="187"/>
      <c r="C84" s="189"/>
      <c r="D84" s="190"/>
      <c r="E84" s="190"/>
      <c r="F84" s="189"/>
      <c r="G84" s="191"/>
      <c r="H84" s="61">
        <f t="shared" si="4"/>
        <v>0</v>
      </c>
      <c r="I84" s="199"/>
      <c r="J84" s="62">
        <f t="shared" si="5"/>
        <v>0</v>
      </c>
      <c r="K84" s="94">
        <f t="shared" si="6"/>
        <v>0</v>
      </c>
      <c r="L84" s="61">
        <f t="shared" si="7"/>
        <v>0</v>
      </c>
      <c r="M84" s="198"/>
      <c r="N84" s="1379"/>
      <c r="O84" s="1422"/>
      <c r="P84" s="1380"/>
    </row>
    <row r="85" spans="1:16" s="66" customFormat="1" ht="13">
      <c r="A85" s="186"/>
      <c r="B85" s="187"/>
      <c r="C85" s="189"/>
      <c r="D85" s="190"/>
      <c r="E85" s="190"/>
      <c r="F85" s="189"/>
      <c r="G85" s="191"/>
      <c r="H85" s="61">
        <f t="shared" si="4"/>
        <v>0</v>
      </c>
      <c r="I85" s="199"/>
      <c r="J85" s="62">
        <f t="shared" si="5"/>
        <v>0</v>
      </c>
      <c r="K85" s="94">
        <f t="shared" si="6"/>
        <v>0</v>
      </c>
      <c r="L85" s="61">
        <f t="shared" si="7"/>
        <v>0</v>
      </c>
      <c r="M85" s="198"/>
      <c r="N85" s="1379"/>
      <c r="O85" s="1422"/>
      <c r="P85" s="1380"/>
    </row>
    <row r="86" spans="1:16" s="66" customFormat="1" ht="13">
      <c r="A86" s="186"/>
      <c r="B86" s="187"/>
      <c r="C86" s="189"/>
      <c r="D86" s="190"/>
      <c r="E86" s="190"/>
      <c r="F86" s="189"/>
      <c r="G86" s="191"/>
      <c r="H86" s="61">
        <f t="shared" si="4"/>
        <v>0</v>
      </c>
      <c r="I86" s="199"/>
      <c r="J86" s="62">
        <f t="shared" si="5"/>
        <v>0</v>
      </c>
      <c r="K86" s="94">
        <f t="shared" si="6"/>
        <v>0</v>
      </c>
      <c r="L86" s="61">
        <f t="shared" si="7"/>
        <v>0</v>
      </c>
      <c r="M86" s="198"/>
      <c r="N86" s="1379"/>
      <c r="O86" s="1422"/>
      <c r="P86" s="1380"/>
    </row>
    <row r="87" spans="1:16" s="66" customFormat="1" ht="13">
      <c r="A87" s="186"/>
      <c r="B87" s="187"/>
      <c r="C87" s="189"/>
      <c r="D87" s="190"/>
      <c r="E87" s="190"/>
      <c r="F87" s="189"/>
      <c r="G87" s="191"/>
      <c r="H87" s="61">
        <f t="shared" si="4"/>
        <v>0</v>
      </c>
      <c r="I87" s="199"/>
      <c r="J87" s="62">
        <f t="shared" si="5"/>
        <v>0</v>
      </c>
      <c r="K87" s="94">
        <f t="shared" si="6"/>
        <v>0</v>
      </c>
      <c r="L87" s="61">
        <f t="shared" si="7"/>
        <v>0</v>
      </c>
      <c r="M87" s="198"/>
      <c r="N87" s="1379"/>
      <c r="O87" s="1422"/>
      <c r="P87" s="1380"/>
    </row>
    <row r="88" spans="1:16" s="66" customFormat="1" ht="13">
      <c r="A88" s="186"/>
      <c r="B88" s="187"/>
      <c r="C88" s="189"/>
      <c r="D88" s="190"/>
      <c r="E88" s="190"/>
      <c r="F88" s="189"/>
      <c r="G88" s="191"/>
      <c r="H88" s="61">
        <f t="shared" si="4"/>
        <v>0</v>
      </c>
      <c r="I88" s="199"/>
      <c r="J88" s="62">
        <f t="shared" si="5"/>
        <v>0</v>
      </c>
      <c r="K88" s="94">
        <f t="shared" si="6"/>
        <v>0</v>
      </c>
      <c r="L88" s="61">
        <f t="shared" si="7"/>
        <v>0</v>
      </c>
      <c r="M88" s="198"/>
      <c r="N88" s="1379"/>
      <c r="O88" s="1422"/>
      <c r="P88" s="1380"/>
    </row>
    <row r="89" spans="1:16" s="66" customFormat="1" ht="13">
      <c r="A89" s="186"/>
      <c r="B89" s="187"/>
      <c r="C89" s="189"/>
      <c r="D89" s="190"/>
      <c r="E89" s="190"/>
      <c r="F89" s="189"/>
      <c r="G89" s="191"/>
      <c r="H89" s="61">
        <f t="shared" si="4"/>
        <v>0</v>
      </c>
      <c r="I89" s="199"/>
      <c r="J89" s="62">
        <f t="shared" si="5"/>
        <v>0</v>
      </c>
      <c r="K89" s="94">
        <f t="shared" si="6"/>
        <v>0</v>
      </c>
      <c r="L89" s="61">
        <f t="shared" si="7"/>
        <v>0</v>
      </c>
      <c r="M89" s="198"/>
      <c r="N89" s="1379"/>
      <c r="O89" s="1422"/>
      <c r="P89" s="1380"/>
    </row>
    <row r="90" spans="1:16" s="66" customFormat="1" ht="13">
      <c r="A90" s="186"/>
      <c r="B90" s="187"/>
      <c r="C90" s="189"/>
      <c r="D90" s="190"/>
      <c r="E90" s="190"/>
      <c r="F90" s="189"/>
      <c r="G90" s="191"/>
      <c r="H90" s="61">
        <f t="shared" si="4"/>
        <v>0</v>
      </c>
      <c r="I90" s="199"/>
      <c r="J90" s="62">
        <f t="shared" si="5"/>
        <v>0</v>
      </c>
      <c r="K90" s="94">
        <f t="shared" si="6"/>
        <v>0</v>
      </c>
      <c r="L90" s="61">
        <f t="shared" si="7"/>
        <v>0</v>
      </c>
      <c r="M90" s="198"/>
      <c r="N90" s="1379"/>
      <c r="O90" s="1422"/>
      <c r="P90" s="1380"/>
    </row>
    <row r="91" spans="1:16" s="66" customFormat="1" ht="13">
      <c r="A91" s="186"/>
      <c r="B91" s="187"/>
      <c r="C91" s="189"/>
      <c r="D91" s="190"/>
      <c r="E91" s="190"/>
      <c r="F91" s="189"/>
      <c r="G91" s="191"/>
      <c r="H91" s="61">
        <f t="shared" si="4"/>
        <v>0</v>
      </c>
      <c r="I91" s="199"/>
      <c r="J91" s="62">
        <f t="shared" si="5"/>
        <v>0</v>
      </c>
      <c r="K91" s="94">
        <f t="shared" si="6"/>
        <v>0</v>
      </c>
      <c r="L91" s="61">
        <f t="shared" si="7"/>
        <v>0</v>
      </c>
      <c r="M91" s="198"/>
      <c r="N91" s="1379"/>
      <c r="O91" s="1422"/>
      <c r="P91" s="1380"/>
    </row>
    <row r="92" spans="1:16" s="66" customFormat="1" ht="13">
      <c r="A92" s="186"/>
      <c r="B92" s="187"/>
      <c r="C92" s="189"/>
      <c r="D92" s="190"/>
      <c r="E92" s="190"/>
      <c r="F92" s="189"/>
      <c r="G92" s="191"/>
      <c r="H92" s="61">
        <f t="shared" si="4"/>
        <v>0</v>
      </c>
      <c r="I92" s="199"/>
      <c r="J92" s="62">
        <f t="shared" si="5"/>
        <v>0</v>
      </c>
      <c r="K92" s="94">
        <f t="shared" si="6"/>
        <v>0</v>
      </c>
      <c r="L92" s="61">
        <f t="shared" si="7"/>
        <v>0</v>
      </c>
      <c r="M92" s="198"/>
      <c r="N92" s="1379"/>
      <c r="O92" s="1422"/>
      <c r="P92" s="1380"/>
    </row>
    <row r="93" spans="1:16" s="66" customFormat="1" ht="13">
      <c r="A93" s="186"/>
      <c r="B93" s="187"/>
      <c r="C93" s="189"/>
      <c r="D93" s="190"/>
      <c r="E93" s="190"/>
      <c r="F93" s="189"/>
      <c r="G93" s="191"/>
      <c r="H93" s="61">
        <f t="shared" si="4"/>
        <v>0</v>
      </c>
      <c r="I93" s="199"/>
      <c r="J93" s="62">
        <f t="shared" si="5"/>
        <v>0</v>
      </c>
      <c r="K93" s="94">
        <f t="shared" si="6"/>
        <v>0</v>
      </c>
      <c r="L93" s="61">
        <f t="shared" si="7"/>
        <v>0</v>
      </c>
      <c r="M93" s="198"/>
      <c r="N93" s="1379"/>
      <c r="O93" s="1422"/>
      <c r="P93" s="1380"/>
    </row>
    <row r="94" spans="1:16" s="66" customFormat="1" ht="13">
      <c r="A94" s="186"/>
      <c r="B94" s="187"/>
      <c r="C94" s="189"/>
      <c r="D94" s="190"/>
      <c r="E94" s="190"/>
      <c r="F94" s="189"/>
      <c r="G94" s="191"/>
      <c r="H94" s="61">
        <f t="shared" si="4"/>
        <v>0</v>
      </c>
      <c r="I94" s="199"/>
      <c r="J94" s="62">
        <f t="shared" si="5"/>
        <v>0</v>
      </c>
      <c r="K94" s="94">
        <f t="shared" si="6"/>
        <v>0</v>
      </c>
      <c r="L94" s="61">
        <f t="shared" si="7"/>
        <v>0</v>
      </c>
      <c r="M94" s="198"/>
      <c r="N94" s="1379"/>
      <c r="O94" s="1422"/>
      <c r="P94" s="1380"/>
    </row>
    <row r="95" spans="1:16" s="66" customFormat="1" ht="13">
      <c r="A95" s="186"/>
      <c r="B95" s="187"/>
      <c r="C95" s="189"/>
      <c r="D95" s="190"/>
      <c r="E95" s="190"/>
      <c r="F95" s="189"/>
      <c r="G95" s="191"/>
      <c r="H95" s="61">
        <f t="shared" si="4"/>
        <v>0</v>
      </c>
      <c r="I95" s="199"/>
      <c r="J95" s="62">
        <f t="shared" si="5"/>
        <v>0</v>
      </c>
      <c r="K95" s="94">
        <f t="shared" si="6"/>
        <v>0</v>
      </c>
      <c r="L95" s="61">
        <f t="shared" si="7"/>
        <v>0</v>
      </c>
      <c r="M95" s="198"/>
      <c r="N95" s="1379"/>
      <c r="O95" s="1422"/>
      <c r="P95" s="1380"/>
    </row>
    <row r="96" spans="1:16" s="66" customFormat="1" ht="13">
      <c r="A96" s="186"/>
      <c r="B96" s="187"/>
      <c r="C96" s="189"/>
      <c r="D96" s="190"/>
      <c r="E96" s="190"/>
      <c r="F96" s="189"/>
      <c r="G96" s="191"/>
      <c r="H96" s="61">
        <f t="shared" si="4"/>
        <v>0</v>
      </c>
      <c r="I96" s="199"/>
      <c r="J96" s="62">
        <f t="shared" si="5"/>
        <v>0</v>
      </c>
      <c r="K96" s="94">
        <f t="shared" si="6"/>
        <v>0</v>
      </c>
      <c r="L96" s="61">
        <f t="shared" si="7"/>
        <v>0</v>
      </c>
      <c r="M96" s="198"/>
      <c r="N96" s="1379"/>
      <c r="O96" s="1422"/>
      <c r="P96" s="1380"/>
    </row>
    <row r="97" spans="1:16" s="66" customFormat="1" ht="13">
      <c r="A97" s="186"/>
      <c r="B97" s="187"/>
      <c r="C97" s="189"/>
      <c r="D97" s="190"/>
      <c r="E97" s="190"/>
      <c r="F97" s="189"/>
      <c r="G97" s="191"/>
      <c r="H97" s="61">
        <f t="shared" si="4"/>
        <v>0</v>
      </c>
      <c r="I97" s="199"/>
      <c r="J97" s="62">
        <f t="shared" si="5"/>
        <v>0</v>
      </c>
      <c r="K97" s="94">
        <f t="shared" si="6"/>
        <v>0</v>
      </c>
      <c r="L97" s="61">
        <f t="shared" si="7"/>
        <v>0</v>
      </c>
      <c r="M97" s="198"/>
      <c r="N97" s="1379"/>
      <c r="O97" s="1422"/>
      <c r="P97" s="1380"/>
    </row>
    <row r="98" spans="1:16" s="66" customFormat="1" ht="13">
      <c r="A98" s="186"/>
      <c r="B98" s="187"/>
      <c r="C98" s="189"/>
      <c r="D98" s="190"/>
      <c r="E98" s="190"/>
      <c r="F98" s="189"/>
      <c r="G98" s="191"/>
      <c r="H98" s="61">
        <f t="shared" si="4"/>
        <v>0</v>
      </c>
      <c r="I98" s="199"/>
      <c r="J98" s="62">
        <f t="shared" si="5"/>
        <v>0</v>
      </c>
      <c r="K98" s="94">
        <f t="shared" si="6"/>
        <v>0</v>
      </c>
      <c r="L98" s="61">
        <f t="shared" si="7"/>
        <v>0</v>
      </c>
      <c r="M98" s="198"/>
      <c r="N98" s="1379"/>
      <c r="O98" s="1422"/>
      <c r="P98" s="1380"/>
    </row>
    <row r="99" spans="1:16" s="66" customFormat="1" ht="13">
      <c r="A99" s="186"/>
      <c r="B99" s="187"/>
      <c r="C99" s="189"/>
      <c r="D99" s="190"/>
      <c r="E99" s="190"/>
      <c r="F99" s="189"/>
      <c r="G99" s="191"/>
      <c r="H99" s="61">
        <f t="shared" si="4"/>
        <v>0</v>
      </c>
      <c r="I99" s="199"/>
      <c r="J99" s="62">
        <f t="shared" si="5"/>
        <v>0</v>
      </c>
      <c r="K99" s="94">
        <f t="shared" si="6"/>
        <v>0</v>
      </c>
      <c r="L99" s="61">
        <f t="shared" si="7"/>
        <v>0</v>
      </c>
      <c r="M99" s="198"/>
      <c r="N99" s="1379"/>
      <c r="O99" s="1422"/>
      <c r="P99" s="1380"/>
    </row>
    <row r="100" spans="1:16" s="66" customFormat="1" ht="13">
      <c r="A100" s="186"/>
      <c r="B100" s="187"/>
      <c r="C100" s="189"/>
      <c r="D100" s="190"/>
      <c r="E100" s="190"/>
      <c r="F100" s="189"/>
      <c r="G100" s="191"/>
      <c r="H100" s="61">
        <f t="shared" si="4"/>
        <v>0</v>
      </c>
      <c r="I100" s="199"/>
      <c r="J100" s="62">
        <f t="shared" si="5"/>
        <v>0</v>
      </c>
      <c r="K100" s="94">
        <f t="shared" si="6"/>
        <v>0</v>
      </c>
      <c r="L100" s="61">
        <f t="shared" si="7"/>
        <v>0</v>
      </c>
      <c r="M100" s="198"/>
      <c r="N100" s="1379"/>
      <c r="O100" s="1422"/>
      <c r="P100" s="1380"/>
    </row>
    <row r="101" spans="1:16" s="66" customFormat="1" ht="13">
      <c r="A101" s="186"/>
      <c r="B101" s="187"/>
      <c r="C101" s="189"/>
      <c r="D101" s="190"/>
      <c r="E101" s="190"/>
      <c r="F101" s="189"/>
      <c r="G101" s="191"/>
      <c r="H101" s="61">
        <f t="shared" si="4"/>
        <v>0</v>
      </c>
      <c r="I101" s="199"/>
      <c r="J101" s="62">
        <f t="shared" si="5"/>
        <v>0</v>
      </c>
      <c r="K101" s="94">
        <f t="shared" si="6"/>
        <v>0</v>
      </c>
      <c r="L101" s="61">
        <f t="shared" si="7"/>
        <v>0</v>
      </c>
      <c r="M101" s="198"/>
      <c r="N101" s="1379"/>
      <c r="O101" s="1422"/>
      <c r="P101" s="1380"/>
    </row>
    <row r="102" spans="1:16" s="66" customFormat="1" ht="13">
      <c r="A102" s="186"/>
      <c r="B102" s="187"/>
      <c r="C102" s="189"/>
      <c r="D102" s="190"/>
      <c r="E102" s="190"/>
      <c r="F102" s="189"/>
      <c r="G102" s="191"/>
      <c r="H102" s="61">
        <f t="shared" si="4"/>
        <v>0</v>
      </c>
      <c r="I102" s="199"/>
      <c r="J102" s="62">
        <f t="shared" si="5"/>
        <v>0</v>
      </c>
      <c r="K102" s="94">
        <f t="shared" si="6"/>
        <v>0</v>
      </c>
      <c r="L102" s="61">
        <f t="shared" si="7"/>
        <v>0</v>
      </c>
      <c r="M102" s="198"/>
      <c r="N102" s="1379"/>
      <c r="O102" s="1422"/>
      <c r="P102" s="1380"/>
    </row>
    <row r="103" spans="1:16" s="66" customFormat="1" ht="13">
      <c r="A103" s="186"/>
      <c r="B103" s="187"/>
      <c r="C103" s="189"/>
      <c r="D103" s="190"/>
      <c r="E103" s="190"/>
      <c r="F103" s="189"/>
      <c r="G103" s="191"/>
      <c r="H103" s="61">
        <f t="shared" si="4"/>
        <v>0</v>
      </c>
      <c r="I103" s="199"/>
      <c r="J103" s="62">
        <f t="shared" si="5"/>
        <v>0</v>
      </c>
      <c r="K103" s="94">
        <f t="shared" si="6"/>
        <v>0</v>
      </c>
      <c r="L103" s="61">
        <f t="shared" si="7"/>
        <v>0</v>
      </c>
      <c r="M103" s="198"/>
      <c r="N103" s="1379"/>
      <c r="O103" s="1422"/>
      <c r="P103" s="1380"/>
    </row>
    <row r="104" spans="1:16" s="66" customFormat="1" ht="13">
      <c r="A104" s="186"/>
      <c r="B104" s="187"/>
      <c r="C104" s="189"/>
      <c r="D104" s="190"/>
      <c r="E104" s="190"/>
      <c r="F104" s="189"/>
      <c r="G104" s="191"/>
      <c r="H104" s="61">
        <f t="shared" si="4"/>
        <v>0</v>
      </c>
      <c r="I104" s="199"/>
      <c r="J104" s="62">
        <f t="shared" si="5"/>
        <v>0</v>
      </c>
      <c r="K104" s="94">
        <f t="shared" si="6"/>
        <v>0</v>
      </c>
      <c r="L104" s="61">
        <f t="shared" si="7"/>
        <v>0</v>
      </c>
      <c r="M104" s="198"/>
      <c r="N104" s="1379"/>
      <c r="O104" s="1422"/>
      <c r="P104" s="1380"/>
    </row>
    <row r="105" spans="1:16" s="66" customFormat="1" ht="13">
      <c r="A105" s="186"/>
      <c r="B105" s="187"/>
      <c r="C105" s="189"/>
      <c r="D105" s="190"/>
      <c r="E105" s="190"/>
      <c r="F105" s="189"/>
      <c r="G105" s="191"/>
      <c r="H105" s="61">
        <f t="shared" si="4"/>
        <v>0</v>
      </c>
      <c r="I105" s="199"/>
      <c r="J105" s="62">
        <f t="shared" si="5"/>
        <v>0</v>
      </c>
      <c r="K105" s="94">
        <f t="shared" si="6"/>
        <v>0</v>
      </c>
      <c r="L105" s="61">
        <f t="shared" si="7"/>
        <v>0</v>
      </c>
      <c r="M105" s="198"/>
      <c r="N105" s="1379"/>
      <c r="O105" s="1422"/>
      <c r="P105" s="1380"/>
    </row>
    <row r="106" spans="1:16" s="66" customFormat="1" ht="13">
      <c r="A106" s="186"/>
      <c r="B106" s="187"/>
      <c r="C106" s="189"/>
      <c r="D106" s="190"/>
      <c r="E106" s="190"/>
      <c r="F106" s="189"/>
      <c r="G106" s="191"/>
      <c r="H106" s="61">
        <f t="shared" si="4"/>
        <v>0</v>
      </c>
      <c r="I106" s="199"/>
      <c r="J106" s="62">
        <f t="shared" si="5"/>
        <v>0</v>
      </c>
      <c r="K106" s="94">
        <f t="shared" si="6"/>
        <v>0</v>
      </c>
      <c r="L106" s="61">
        <f t="shared" si="7"/>
        <v>0</v>
      </c>
      <c r="M106" s="198"/>
      <c r="N106" s="1379"/>
      <c r="O106" s="1422"/>
      <c r="P106" s="1380"/>
    </row>
    <row r="107" spans="1:16" s="66" customFormat="1" ht="13">
      <c r="A107" s="186"/>
      <c r="B107" s="187"/>
      <c r="C107" s="189"/>
      <c r="D107" s="190"/>
      <c r="E107" s="190"/>
      <c r="F107" s="189"/>
      <c r="G107" s="191"/>
      <c r="H107" s="61">
        <f t="shared" si="4"/>
        <v>0</v>
      </c>
      <c r="I107" s="199"/>
      <c r="J107" s="62">
        <f t="shared" si="5"/>
        <v>0</v>
      </c>
      <c r="K107" s="94">
        <f t="shared" si="6"/>
        <v>0</v>
      </c>
      <c r="L107" s="61">
        <f t="shared" si="7"/>
        <v>0</v>
      </c>
      <c r="M107" s="198"/>
      <c r="N107" s="1379"/>
      <c r="O107" s="1422"/>
      <c r="P107" s="1380"/>
    </row>
    <row r="108" spans="1:16" s="66" customFormat="1" ht="13">
      <c r="A108" s="186"/>
      <c r="B108" s="187"/>
      <c r="C108" s="189"/>
      <c r="D108" s="190"/>
      <c r="E108" s="190"/>
      <c r="F108" s="189"/>
      <c r="G108" s="191"/>
      <c r="H108" s="61">
        <f t="shared" si="4"/>
        <v>0</v>
      </c>
      <c r="I108" s="199"/>
      <c r="J108" s="62">
        <f t="shared" si="5"/>
        <v>0</v>
      </c>
      <c r="K108" s="94">
        <f t="shared" si="6"/>
        <v>0</v>
      </c>
      <c r="L108" s="61">
        <f t="shared" si="7"/>
        <v>0</v>
      </c>
      <c r="M108" s="198"/>
      <c r="N108" s="1379"/>
      <c r="O108" s="1422"/>
      <c r="P108" s="1380"/>
    </row>
    <row r="109" spans="1:16" s="66" customFormat="1" ht="13">
      <c r="A109" s="186"/>
      <c r="B109" s="187"/>
      <c r="C109" s="189"/>
      <c r="D109" s="190"/>
      <c r="E109" s="190"/>
      <c r="F109" s="189"/>
      <c r="G109" s="191"/>
      <c r="H109" s="61">
        <f t="shared" si="4"/>
        <v>0</v>
      </c>
      <c r="I109" s="199"/>
      <c r="J109" s="62">
        <f t="shared" si="5"/>
        <v>0</v>
      </c>
      <c r="K109" s="94">
        <f t="shared" si="6"/>
        <v>0</v>
      </c>
      <c r="L109" s="61">
        <f t="shared" si="7"/>
        <v>0</v>
      </c>
      <c r="M109" s="198"/>
      <c r="N109" s="1379"/>
      <c r="O109" s="1422"/>
      <c r="P109" s="1380"/>
    </row>
    <row r="110" spans="1:16" s="66" customFormat="1" ht="13">
      <c r="A110" s="186"/>
      <c r="B110" s="187"/>
      <c r="C110" s="189"/>
      <c r="D110" s="190"/>
      <c r="E110" s="190"/>
      <c r="F110" s="189"/>
      <c r="G110" s="191"/>
      <c r="H110" s="61">
        <f t="shared" si="4"/>
        <v>0</v>
      </c>
      <c r="I110" s="199"/>
      <c r="J110" s="62">
        <f t="shared" si="5"/>
        <v>0</v>
      </c>
      <c r="K110" s="94">
        <f t="shared" si="6"/>
        <v>0</v>
      </c>
      <c r="L110" s="61">
        <f t="shared" si="7"/>
        <v>0</v>
      </c>
      <c r="M110" s="198"/>
      <c r="N110" s="1379"/>
      <c r="O110" s="1422"/>
      <c r="P110" s="1380"/>
    </row>
    <row r="111" spans="1:16" s="66" customFormat="1" ht="13">
      <c r="A111" s="186"/>
      <c r="B111" s="187"/>
      <c r="C111" s="189"/>
      <c r="D111" s="190"/>
      <c r="E111" s="190"/>
      <c r="F111" s="189"/>
      <c r="G111" s="191"/>
      <c r="H111" s="61">
        <f t="shared" si="4"/>
        <v>0</v>
      </c>
      <c r="I111" s="199"/>
      <c r="J111" s="62">
        <f t="shared" si="5"/>
        <v>0</v>
      </c>
      <c r="K111" s="94">
        <f t="shared" si="6"/>
        <v>0</v>
      </c>
      <c r="L111" s="61">
        <f t="shared" si="7"/>
        <v>0</v>
      </c>
      <c r="M111" s="198"/>
      <c r="N111" s="1379"/>
      <c r="O111" s="1422"/>
      <c r="P111" s="1380"/>
    </row>
    <row r="112" spans="1:16" s="66" customFormat="1" ht="13">
      <c r="A112" s="186"/>
      <c r="B112" s="187"/>
      <c r="C112" s="189"/>
      <c r="D112" s="190"/>
      <c r="E112" s="190"/>
      <c r="F112" s="189"/>
      <c r="G112" s="191"/>
      <c r="H112" s="61">
        <f t="shared" si="4"/>
        <v>0</v>
      </c>
      <c r="I112" s="199"/>
      <c r="J112" s="62">
        <f t="shared" si="5"/>
        <v>0</v>
      </c>
      <c r="K112" s="94">
        <f t="shared" si="6"/>
        <v>0</v>
      </c>
      <c r="L112" s="61">
        <f t="shared" si="7"/>
        <v>0</v>
      </c>
      <c r="M112" s="198"/>
      <c r="N112" s="1379"/>
      <c r="O112" s="1422"/>
      <c r="P112" s="1380"/>
    </row>
    <row r="113" spans="1:16" s="66" customFormat="1" ht="13">
      <c r="A113" s="186"/>
      <c r="B113" s="187"/>
      <c r="C113" s="189"/>
      <c r="D113" s="190"/>
      <c r="E113" s="190"/>
      <c r="F113" s="189"/>
      <c r="G113" s="191"/>
      <c r="H113" s="61">
        <f t="shared" si="4"/>
        <v>0</v>
      </c>
      <c r="I113" s="199"/>
      <c r="J113" s="62">
        <f t="shared" si="5"/>
        <v>0</v>
      </c>
      <c r="K113" s="94">
        <f t="shared" si="6"/>
        <v>0</v>
      </c>
      <c r="L113" s="61">
        <f t="shared" si="7"/>
        <v>0</v>
      </c>
      <c r="M113" s="198"/>
      <c r="N113" s="1379"/>
      <c r="O113" s="1422"/>
      <c r="P113" s="1380"/>
    </row>
    <row r="114" spans="1:16" s="66" customFormat="1" ht="13">
      <c r="A114" s="186"/>
      <c r="B114" s="187"/>
      <c r="C114" s="189"/>
      <c r="D114" s="190"/>
      <c r="E114" s="190"/>
      <c r="F114" s="189"/>
      <c r="G114" s="191"/>
      <c r="H114" s="61">
        <f t="shared" si="4"/>
        <v>0</v>
      </c>
      <c r="I114" s="199"/>
      <c r="J114" s="62">
        <f t="shared" si="5"/>
        <v>0</v>
      </c>
      <c r="K114" s="94">
        <f t="shared" si="6"/>
        <v>0</v>
      </c>
      <c r="L114" s="61">
        <f t="shared" si="7"/>
        <v>0</v>
      </c>
      <c r="M114" s="198"/>
      <c r="N114" s="1379"/>
      <c r="O114" s="1422"/>
      <c r="P114" s="1380"/>
    </row>
    <row r="115" spans="1:16" s="66" customFormat="1" ht="13">
      <c r="A115" s="186"/>
      <c r="B115" s="187"/>
      <c r="C115" s="189"/>
      <c r="D115" s="190"/>
      <c r="E115" s="190"/>
      <c r="F115" s="189"/>
      <c r="G115" s="191"/>
      <c r="H115" s="61">
        <f t="shared" si="4"/>
        <v>0</v>
      </c>
      <c r="I115" s="199"/>
      <c r="J115" s="62">
        <f t="shared" si="5"/>
        <v>0</v>
      </c>
      <c r="K115" s="94">
        <f t="shared" si="6"/>
        <v>0</v>
      </c>
      <c r="L115" s="61">
        <f t="shared" si="7"/>
        <v>0</v>
      </c>
      <c r="M115" s="198"/>
      <c r="N115" s="1379"/>
      <c r="O115" s="1422"/>
      <c r="P115" s="1380"/>
    </row>
    <row r="116" spans="1:16" s="66" customFormat="1" ht="13">
      <c r="A116" s="186"/>
      <c r="B116" s="187"/>
      <c r="C116" s="189"/>
      <c r="D116" s="190"/>
      <c r="E116" s="190"/>
      <c r="F116" s="189"/>
      <c r="G116" s="191"/>
      <c r="H116" s="61">
        <f t="shared" si="4"/>
        <v>0</v>
      </c>
      <c r="I116" s="199"/>
      <c r="J116" s="62">
        <f t="shared" si="5"/>
        <v>0</v>
      </c>
      <c r="K116" s="94">
        <f t="shared" si="6"/>
        <v>0</v>
      </c>
      <c r="L116" s="61">
        <f t="shared" si="7"/>
        <v>0</v>
      </c>
      <c r="M116" s="198"/>
      <c r="N116" s="1379"/>
      <c r="O116" s="1422"/>
      <c r="P116" s="1380"/>
    </row>
    <row r="117" spans="1:16" s="66" customFormat="1" ht="13">
      <c r="A117" s="186"/>
      <c r="B117" s="187"/>
      <c r="C117" s="189"/>
      <c r="D117" s="190"/>
      <c r="E117" s="190"/>
      <c r="F117" s="189"/>
      <c r="G117" s="191"/>
      <c r="H117" s="61">
        <f t="shared" si="4"/>
        <v>0</v>
      </c>
      <c r="I117" s="199"/>
      <c r="J117" s="62">
        <f t="shared" si="5"/>
        <v>0</v>
      </c>
      <c r="K117" s="94">
        <f t="shared" si="6"/>
        <v>0</v>
      </c>
      <c r="L117" s="61">
        <f t="shared" si="7"/>
        <v>0</v>
      </c>
      <c r="M117" s="198"/>
      <c r="N117" s="1379"/>
      <c r="O117" s="1422"/>
      <c r="P117" s="1380"/>
    </row>
    <row r="118" spans="1:16" s="66" customFormat="1" ht="13">
      <c r="A118" s="186"/>
      <c r="B118" s="187"/>
      <c r="C118" s="189"/>
      <c r="D118" s="190"/>
      <c r="E118" s="190"/>
      <c r="F118" s="189"/>
      <c r="G118" s="191"/>
      <c r="H118" s="61">
        <f t="shared" si="4"/>
        <v>0</v>
      </c>
      <c r="I118" s="199"/>
      <c r="J118" s="62">
        <f t="shared" si="5"/>
        <v>0</v>
      </c>
      <c r="K118" s="94">
        <f t="shared" si="6"/>
        <v>0</v>
      </c>
      <c r="L118" s="61">
        <f t="shared" si="7"/>
        <v>0</v>
      </c>
      <c r="M118" s="198"/>
      <c r="N118" s="1379"/>
      <c r="O118" s="1422"/>
      <c r="P118" s="1380"/>
    </row>
    <row r="119" spans="1:16" s="66" customFormat="1" ht="13">
      <c r="A119" s="186"/>
      <c r="B119" s="187"/>
      <c r="C119" s="189"/>
      <c r="D119" s="190"/>
      <c r="E119" s="190"/>
      <c r="F119" s="189"/>
      <c r="G119" s="191"/>
      <c r="H119" s="61">
        <f t="shared" si="4"/>
        <v>0</v>
      </c>
      <c r="I119" s="199"/>
      <c r="J119" s="62">
        <f t="shared" si="5"/>
        <v>0</v>
      </c>
      <c r="K119" s="94">
        <f t="shared" si="6"/>
        <v>0</v>
      </c>
      <c r="L119" s="61">
        <f t="shared" si="7"/>
        <v>0</v>
      </c>
      <c r="M119" s="198"/>
      <c r="N119" s="1379"/>
      <c r="O119" s="1422"/>
      <c r="P119" s="1380"/>
    </row>
    <row r="120" spans="1:16" s="66" customFormat="1" ht="13">
      <c r="A120" s="186"/>
      <c r="B120" s="187"/>
      <c r="C120" s="189"/>
      <c r="D120" s="190"/>
      <c r="E120" s="190"/>
      <c r="F120" s="189"/>
      <c r="G120" s="191"/>
      <c r="H120" s="61">
        <f t="shared" si="4"/>
        <v>0</v>
      </c>
      <c r="I120" s="199"/>
      <c r="J120" s="62">
        <f t="shared" si="5"/>
        <v>0</v>
      </c>
      <c r="K120" s="94">
        <f t="shared" si="6"/>
        <v>0</v>
      </c>
      <c r="L120" s="61">
        <f t="shared" si="7"/>
        <v>0</v>
      </c>
      <c r="M120" s="198"/>
      <c r="N120" s="1379"/>
      <c r="O120" s="1422"/>
      <c r="P120" s="1380"/>
    </row>
    <row r="121" spans="1:16" s="66" customFormat="1" ht="13">
      <c r="A121" s="186"/>
      <c r="B121" s="187"/>
      <c r="C121" s="189"/>
      <c r="D121" s="190"/>
      <c r="E121" s="190"/>
      <c r="F121" s="189"/>
      <c r="G121" s="191"/>
      <c r="H121" s="61">
        <f t="shared" si="4"/>
        <v>0</v>
      </c>
      <c r="I121" s="199"/>
      <c r="J121" s="62">
        <f t="shared" si="5"/>
        <v>0</v>
      </c>
      <c r="K121" s="94">
        <f t="shared" si="6"/>
        <v>0</v>
      </c>
      <c r="L121" s="61">
        <f t="shared" si="7"/>
        <v>0</v>
      </c>
      <c r="M121" s="198"/>
      <c r="N121" s="1379"/>
      <c r="O121" s="1422"/>
      <c r="P121" s="1380"/>
    </row>
    <row r="122" spans="1:16" s="66" customFormat="1" ht="13">
      <c r="A122" s="186"/>
      <c r="B122" s="187"/>
      <c r="C122" s="189"/>
      <c r="D122" s="190"/>
      <c r="E122" s="190"/>
      <c r="F122" s="189"/>
      <c r="G122" s="191"/>
      <c r="H122" s="61">
        <f t="shared" si="4"/>
        <v>0</v>
      </c>
      <c r="I122" s="199"/>
      <c r="J122" s="62">
        <f t="shared" si="5"/>
        <v>0</v>
      </c>
      <c r="K122" s="94">
        <f t="shared" si="6"/>
        <v>0</v>
      </c>
      <c r="L122" s="61">
        <f t="shared" si="7"/>
        <v>0</v>
      </c>
      <c r="M122" s="198"/>
      <c r="N122" s="1379"/>
      <c r="O122" s="1422"/>
      <c r="P122" s="1380"/>
    </row>
    <row r="123" spans="1:16" s="66" customFormat="1" ht="13">
      <c r="A123" s="186"/>
      <c r="B123" s="187"/>
      <c r="C123" s="189"/>
      <c r="D123" s="190"/>
      <c r="E123" s="190"/>
      <c r="F123" s="189"/>
      <c r="G123" s="191"/>
      <c r="H123" s="61">
        <f t="shared" si="4"/>
        <v>0</v>
      </c>
      <c r="I123" s="199"/>
      <c r="J123" s="62">
        <f t="shared" si="5"/>
        <v>0</v>
      </c>
      <c r="K123" s="94">
        <f t="shared" si="6"/>
        <v>0</v>
      </c>
      <c r="L123" s="61">
        <f t="shared" si="7"/>
        <v>0</v>
      </c>
      <c r="M123" s="198"/>
      <c r="N123" s="1379"/>
      <c r="O123" s="1422"/>
      <c r="P123" s="1380"/>
    </row>
    <row r="124" spans="1:16" s="66" customFormat="1" ht="13">
      <c r="A124" s="186"/>
      <c r="B124" s="187"/>
      <c r="C124" s="189"/>
      <c r="D124" s="190"/>
      <c r="E124" s="190"/>
      <c r="F124" s="189"/>
      <c r="G124" s="191"/>
      <c r="H124" s="61">
        <f t="shared" si="4"/>
        <v>0</v>
      </c>
      <c r="I124" s="199"/>
      <c r="J124" s="62">
        <f t="shared" si="5"/>
        <v>0</v>
      </c>
      <c r="K124" s="94">
        <f t="shared" si="6"/>
        <v>0</v>
      </c>
      <c r="L124" s="61">
        <f t="shared" si="7"/>
        <v>0</v>
      </c>
      <c r="M124" s="198"/>
      <c r="N124" s="1379"/>
      <c r="O124" s="1422"/>
      <c r="P124" s="1380"/>
    </row>
    <row r="125" spans="1:16" s="66" customFormat="1" ht="13">
      <c r="A125" s="186"/>
      <c r="B125" s="187"/>
      <c r="C125" s="189"/>
      <c r="D125" s="190"/>
      <c r="E125" s="190"/>
      <c r="F125" s="189"/>
      <c r="G125" s="191"/>
      <c r="H125" s="61">
        <f t="shared" si="4"/>
        <v>0</v>
      </c>
      <c r="I125" s="199"/>
      <c r="J125" s="62">
        <f t="shared" si="5"/>
        <v>0</v>
      </c>
      <c r="K125" s="94">
        <f t="shared" si="6"/>
        <v>0</v>
      </c>
      <c r="L125" s="61">
        <f t="shared" si="7"/>
        <v>0</v>
      </c>
      <c r="M125" s="198"/>
      <c r="N125" s="1379"/>
      <c r="O125" s="1422"/>
      <c r="P125" s="1380"/>
    </row>
    <row r="126" spans="1:16" s="66" customFormat="1" ht="13">
      <c r="A126" s="186"/>
      <c r="B126" s="187"/>
      <c r="C126" s="189"/>
      <c r="D126" s="190"/>
      <c r="E126" s="190"/>
      <c r="F126" s="189"/>
      <c r="G126" s="191"/>
      <c r="H126" s="61">
        <f t="shared" si="4"/>
        <v>0</v>
      </c>
      <c r="I126" s="199"/>
      <c r="J126" s="62">
        <f t="shared" si="5"/>
        <v>0</v>
      </c>
      <c r="K126" s="94">
        <f t="shared" si="6"/>
        <v>0</v>
      </c>
      <c r="L126" s="61">
        <f t="shared" si="7"/>
        <v>0</v>
      </c>
      <c r="M126" s="198"/>
      <c r="N126" s="1379"/>
      <c r="O126" s="1422"/>
      <c r="P126" s="1380"/>
    </row>
    <row r="127" spans="1:16" s="66" customFormat="1" ht="13">
      <c r="A127" s="186"/>
      <c r="B127" s="187"/>
      <c r="C127" s="189"/>
      <c r="D127" s="190"/>
      <c r="E127" s="190"/>
      <c r="F127" s="189"/>
      <c r="G127" s="191"/>
      <c r="H127" s="61">
        <f t="shared" si="4"/>
        <v>0</v>
      </c>
      <c r="I127" s="199"/>
      <c r="J127" s="62">
        <f t="shared" si="5"/>
        <v>0</v>
      </c>
      <c r="K127" s="94">
        <f t="shared" si="6"/>
        <v>0</v>
      </c>
      <c r="L127" s="61">
        <f t="shared" si="7"/>
        <v>0</v>
      </c>
      <c r="M127" s="198"/>
      <c r="N127" s="1379"/>
      <c r="O127" s="1422"/>
      <c r="P127" s="1380"/>
    </row>
    <row r="128" spans="1:16" s="66" customFormat="1" ht="13">
      <c r="A128" s="186"/>
      <c r="B128" s="187"/>
      <c r="C128" s="189"/>
      <c r="D128" s="190"/>
      <c r="E128" s="190"/>
      <c r="F128" s="189"/>
      <c r="G128" s="191"/>
      <c r="H128" s="61">
        <f t="shared" si="4"/>
        <v>0</v>
      </c>
      <c r="I128" s="199"/>
      <c r="J128" s="62">
        <f t="shared" si="5"/>
        <v>0</v>
      </c>
      <c r="K128" s="94">
        <f t="shared" si="6"/>
        <v>0</v>
      </c>
      <c r="L128" s="61">
        <f t="shared" si="7"/>
        <v>0</v>
      </c>
      <c r="M128" s="198"/>
      <c r="N128" s="1379"/>
      <c r="O128" s="1422"/>
      <c r="P128" s="1380"/>
    </row>
    <row r="129" spans="1:16" s="66" customFormat="1" ht="13">
      <c r="A129" s="186"/>
      <c r="B129" s="187"/>
      <c r="C129" s="189"/>
      <c r="D129" s="190"/>
      <c r="E129" s="190"/>
      <c r="F129" s="189"/>
      <c r="G129" s="191"/>
      <c r="H129" s="61">
        <f t="shared" si="4"/>
        <v>0</v>
      </c>
      <c r="I129" s="199"/>
      <c r="J129" s="62">
        <f t="shared" si="5"/>
        <v>0</v>
      </c>
      <c r="K129" s="94">
        <f t="shared" si="6"/>
        <v>0</v>
      </c>
      <c r="L129" s="61">
        <f t="shared" si="7"/>
        <v>0</v>
      </c>
      <c r="M129" s="198"/>
      <c r="N129" s="1379"/>
      <c r="O129" s="1422"/>
      <c r="P129" s="1380"/>
    </row>
    <row r="130" spans="1:16" s="66" customFormat="1" ht="13">
      <c r="A130" s="186"/>
      <c r="B130" s="187"/>
      <c r="C130" s="189"/>
      <c r="D130" s="190"/>
      <c r="E130" s="190"/>
      <c r="F130" s="189"/>
      <c r="G130" s="191"/>
      <c r="H130" s="61">
        <f t="shared" si="4"/>
        <v>0</v>
      </c>
      <c r="I130" s="199"/>
      <c r="J130" s="62">
        <f t="shared" si="5"/>
        <v>0</v>
      </c>
      <c r="K130" s="94">
        <f t="shared" si="6"/>
        <v>0</v>
      </c>
      <c r="L130" s="61">
        <f t="shared" si="7"/>
        <v>0</v>
      </c>
      <c r="M130" s="198"/>
      <c r="N130" s="1379"/>
      <c r="O130" s="1422"/>
      <c r="P130" s="1380"/>
    </row>
    <row r="131" spans="1:16" s="66" customFormat="1" ht="13">
      <c r="A131" s="186"/>
      <c r="B131" s="187"/>
      <c r="C131" s="189"/>
      <c r="D131" s="190"/>
      <c r="E131" s="190"/>
      <c r="F131" s="189"/>
      <c r="G131" s="191"/>
      <c r="H131" s="61">
        <f t="shared" si="4"/>
        <v>0</v>
      </c>
      <c r="I131" s="199"/>
      <c r="J131" s="62">
        <f t="shared" si="5"/>
        <v>0</v>
      </c>
      <c r="K131" s="94">
        <f t="shared" si="6"/>
        <v>0</v>
      </c>
      <c r="L131" s="61">
        <f t="shared" si="7"/>
        <v>0</v>
      </c>
      <c r="M131" s="198"/>
      <c r="N131" s="1379"/>
      <c r="O131" s="1422"/>
      <c r="P131" s="1380"/>
    </row>
    <row r="132" spans="1:16" s="66" customFormat="1" ht="13">
      <c r="A132" s="186"/>
      <c r="B132" s="187"/>
      <c r="C132" s="189"/>
      <c r="D132" s="190"/>
      <c r="E132" s="190"/>
      <c r="F132" s="189"/>
      <c r="G132" s="191"/>
      <c r="H132" s="61">
        <f t="shared" si="4"/>
        <v>0</v>
      </c>
      <c r="I132" s="199"/>
      <c r="J132" s="62">
        <f t="shared" si="5"/>
        <v>0</v>
      </c>
      <c r="K132" s="94">
        <f t="shared" si="6"/>
        <v>0</v>
      </c>
      <c r="L132" s="61">
        <f t="shared" si="7"/>
        <v>0</v>
      </c>
      <c r="M132" s="198"/>
      <c r="N132" s="1379"/>
      <c r="O132" s="1422"/>
      <c r="P132" s="1380"/>
    </row>
    <row r="133" spans="1:16" s="66" customFormat="1" ht="13">
      <c r="A133" s="186"/>
      <c r="B133" s="187"/>
      <c r="C133" s="189"/>
      <c r="D133" s="190"/>
      <c r="E133" s="190"/>
      <c r="F133" s="189"/>
      <c r="G133" s="191"/>
      <c r="H133" s="61">
        <f t="shared" si="4"/>
        <v>0</v>
      </c>
      <c r="I133" s="199"/>
      <c r="J133" s="62">
        <f t="shared" si="5"/>
        <v>0</v>
      </c>
      <c r="K133" s="94">
        <f t="shared" si="6"/>
        <v>0</v>
      </c>
      <c r="L133" s="61">
        <f t="shared" si="7"/>
        <v>0</v>
      </c>
      <c r="M133" s="198"/>
      <c r="N133" s="1379"/>
      <c r="O133" s="1422"/>
      <c r="P133" s="1380"/>
    </row>
    <row r="134" spans="1:16" s="66" customFormat="1" ht="13">
      <c r="A134" s="186"/>
      <c r="B134" s="187"/>
      <c r="C134" s="189"/>
      <c r="D134" s="190"/>
      <c r="E134" s="190"/>
      <c r="F134" s="189"/>
      <c r="G134" s="191"/>
      <c r="H134" s="61">
        <f t="shared" si="4"/>
        <v>0</v>
      </c>
      <c r="I134" s="199"/>
      <c r="J134" s="62">
        <f t="shared" si="5"/>
        <v>0</v>
      </c>
      <c r="K134" s="94">
        <f t="shared" si="6"/>
        <v>0</v>
      </c>
      <c r="L134" s="61">
        <f t="shared" si="7"/>
        <v>0</v>
      </c>
      <c r="M134" s="198"/>
      <c r="N134" s="1379"/>
      <c r="O134" s="1422"/>
      <c r="P134" s="1380"/>
    </row>
    <row r="135" spans="1:16" s="66" customFormat="1" ht="13">
      <c r="A135" s="186"/>
      <c r="B135" s="187"/>
      <c r="C135" s="189"/>
      <c r="D135" s="190"/>
      <c r="E135" s="190"/>
      <c r="F135" s="189"/>
      <c r="G135" s="191"/>
      <c r="H135" s="61">
        <f t="shared" si="4"/>
        <v>0</v>
      </c>
      <c r="I135" s="199"/>
      <c r="J135" s="62">
        <f t="shared" si="5"/>
        <v>0</v>
      </c>
      <c r="K135" s="94">
        <f t="shared" si="6"/>
        <v>0</v>
      </c>
      <c r="L135" s="61">
        <f t="shared" si="7"/>
        <v>0</v>
      </c>
      <c r="M135" s="198"/>
      <c r="N135" s="1379"/>
      <c r="O135" s="1422"/>
      <c r="P135" s="1380"/>
    </row>
    <row r="136" spans="1:16" s="66" customFormat="1" ht="13">
      <c r="A136" s="186"/>
      <c r="B136" s="187"/>
      <c r="C136" s="189"/>
      <c r="D136" s="190"/>
      <c r="E136" s="190"/>
      <c r="F136" s="189"/>
      <c r="G136" s="191"/>
      <c r="H136" s="61">
        <f t="shared" si="4"/>
        <v>0</v>
      </c>
      <c r="I136" s="199"/>
      <c r="J136" s="62">
        <f t="shared" si="5"/>
        <v>0</v>
      </c>
      <c r="K136" s="94">
        <f t="shared" si="6"/>
        <v>0</v>
      </c>
      <c r="L136" s="61">
        <f t="shared" si="7"/>
        <v>0</v>
      </c>
      <c r="M136" s="198"/>
      <c r="N136" s="1379"/>
      <c r="O136" s="1422"/>
      <c r="P136" s="1380"/>
    </row>
    <row r="137" spans="1:16" s="66" customFormat="1" ht="13">
      <c r="A137" s="186"/>
      <c r="B137" s="187"/>
      <c r="C137" s="189"/>
      <c r="D137" s="190"/>
      <c r="E137" s="190"/>
      <c r="F137" s="189"/>
      <c r="G137" s="191"/>
      <c r="H137" s="61">
        <f t="shared" si="4"/>
        <v>0</v>
      </c>
      <c r="I137" s="199"/>
      <c r="J137" s="62">
        <f t="shared" si="5"/>
        <v>0</v>
      </c>
      <c r="K137" s="94">
        <f t="shared" si="6"/>
        <v>0</v>
      </c>
      <c r="L137" s="61">
        <f t="shared" si="7"/>
        <v>0</v>
      </c>
      <c r="M137" s="198"/>
      <c r="N137" s="1379"/>
      <c r="O137" s="1422"/>
      <c r="P137" s="1380"/>
    </row>
    <row r="138" spans="1:16" s="66" customFormat="1" ht="13">
      <c r="A138" s="186"/>
      <c r="B138" s="187"/>
      <c r="C138" s="189"/>
      <c r="D138" s="190"/>
      <c r="E138" s="190"/>
      <c r="F138" s="189"/>
      <c r="G138" s="191"/>
      <c r="H138" s="61">
        <f t="shared" si="4"/>
        <v>0</v>
      </c>
      <c r="I138" s="199"/>
      <c r="J138" s="62">
        <f t="shared" si="5"/>
        <v>0</v>
      </c>
      <c r="K138" s="94">
        <f t="shared" si="6"/>
        <v>0</v>
      </c>
      <c r="L138" s="61">
        <f t="shared" si="7"/>
        <v>0</v>
      </c>
      <c r="M138" s="198"/>
      <c r="N138" s="1379"/>
      <c r="O138" s="1422"/>
      <c r="P138" s="1380"/>
    </row>
    <row r="139" spans="1:16" s="66" customFormat="1" ht="13">
      <c r="A139" s="186"/>
      <c r="B139" s="187"/>
      <c r="C139" s="189"/>
      <c r="D139" s="190"/>
      <c r="E139" s="190"/>
      <c r="F139" s="189"/>
      <c r="G139" s="191"/>
      <c r="H139" s="61">
        <f t="shared" si="4"/>
        <v>0</v>
      </c>
      <c r="I139" s="199"/>
      <c r="J139" s="62">
        <f t="shared" si="5"/>
        <v>0</v>
      </c>
      <c r="K139" s="94">
        <f t="shared" si="6"/>
        <v>0</v>
      </c>
      <c r="L139" s="61">
        <f t="shared" si="7"/>
        <v>0</v>
      </c>
      <c r="M139" s="198"/>
      <c r="N139" s="1379"/>
      <c r="O139" s="1422"/>
      <c r="P139" s="1380"/>
    </row>
    <row r="140" spans="1:16" s="66" customFormat="1" ht="13">
      <c r="A140" s="186"/>
      <c r="B140" s="187"/>
      <c r="C140" s="189"/>
      <c r="D140" s="190"/>
      <c r="E140" s="190"/>
      <c r="F140" s="189"/>
      <c r="G140" s="191"/>
      <c r="H140" s="61">
        <f t="shared" si="4"/>
        <v>0</v>
      </c>
      <c r="I140" s="199"/>
      <c r="J140" s="62">
        <f t="shared" si="5"/>
        <v>0</v>
      </c>
      <c r="K140" s="94">
        <f t="shared" si="6"/>
        <v>0</v>
      </c>
      <c r="L140" s="61">
        <f t="shared" si="7"/>
        <v>0</v>
      </c>
      <c r="M140" s="198"/>
      <c r="N140" s="1379"/>
      <c r="O140" s="1422"/>
      <c r="P140" s="1380"/>
    </row>
    <row r="141" spans="1:16" s="66" customFormat="1" ht="13">
      <c r="A141" s="186"/>
      <c r="B141" s="187"/>
      <c r="C141" s="189"/>
      <c r="D141" s="190"/>
      <c r="E141" s="190"/>
      <c r="F141" s="189"/>
      <c r="G141" s="191"/>
      <c r="H141" s="61">
        <f t="shared" si="4"/>
        <v>0</v>
      </c>
      <c r="I141" s="199"/>
      <c r="J141" s="62">
        <f t="shared" si="5"/>
        <v>0</v>
      </c>
      <c r="K141" s="94">
        <f t="shared" si="6"/>
        <v>0</v>
      </c>
      <c r="L141" s="61">
        <f t="shared" si="7"/>
        <v>0</v>
      </c>
      <c r="M141" s="198"/>
      <c r="N141" s="1379"/>
      <c r="O141" s="1422"/>
      <c r="P141" s="1380"/>
    </row>
    <row r="142" spans="1:16" s="66" customFormat="1" ht="13">
      <c r="A142" s="186"/>
      <c r="B142" s="187"/>
      <c r="C142" s="189"/>
      <c r="D142" s="190"/>
      <c r="E142" s="190"/>
      <c r="F142" s="189"/>
      <c r="G142" s="191"/>
      <c r="H142" s="61">
        <f t="shared" ref="H142:H205" si="8">IF(F142=0,0,(+G142)/F142)</f>
        <v>0</v>
      </c>
      <c r="I142" s="199"/>
      <c r="J142" s="62">
        <f t="shared" ref="J142:J205" si="9">H142 * I142</f>
        <v>0</v>
      </c>
      <c r="K142" s="94">
        <f t="shared" ref="K142:K205" si="10">I142 - F142</f>
        <v>0</v>
      </c>
      <c r="L142" s="61">
        <f t="shared" ref="L142:L205" si="11">J142-G142</f>
        <v>0</v>
      </c>
      <c r="M142" s="198"/>
      <c r="N142" s="1379"/>
      <c r="O142" s="1422"/>
      <c r="P142" s="1380"/>
    </row>
    <row r="143" spans="1:16" s="66" customFormat="1" ht="13">
      <c r="A143" s="186"/>
      <c r="B143" s="187"/>
      <c r="C143" s="189"/>
      <c r="D143" s="190"/>
      <c r="E143" s="190"/>
      <c r="F143" s="189"/>
      <c r="G143" s="191"/>
      <c r="H143" s="61">
        <f t="shared" si="8"/>
        <v>0</v>
      </c>
      <c r="I143" s="199"/>
      <c r="J143" s="62">
        <f t="shared" si="9"/>
        <v>0</v>
      </c>
      <c r="K143" s="94">
        <f t="shared" si="10"/>
        <v>0</v>
      </c>
      <c r="L143" s="61">
        <f t="shared" si="11"/>
        <v>0</v>
      </c>
      <c r="M143" s="198"/>
      <c r="N143" s="1379"/>
      <c r="O143" s="1422"/>
      <c r="P143" s="1380"/>
    </row>
    <row r="144" spans="1:16" s="66" customFormat="1" ht="13">
      <c r="A144" s="186"/>
      <c r="B144" s="187"/>
      <c r="C144" s="189"/>
      <c r="D144" s="190"/>
      <c r="E144" s="190"/>
      <c r="F144" s="189"/>
      <c r="G144" s="191"/>
      <c r="H144" s="61">
        <f t="shared" si="8"/>
        <v>0</v>
      </c>
      <c r="I144" s="199"/>
      <c r="J144" s="62">
        <f t="shared" si="9"/>
        <v>0</v>
      </c>
      <c r="K144" s="94">
        <f t="shared" si="10"/>
        <v>0</v>
      </c>
      <c r="L144" s="61">
        <f t="shared" si="11"/>
        <v>0</v>
      </c>
      <c r="M144" s="198"/>
      <c r="N144" s="1379"/>
      <c r="O144" s="1422"/>
      <c r="P144" s="1380"/>
    </row>
    <row r="145" spans="1:16" s="66" customFormat="1" ht="13">
      <c r="A145" s="186"/>
      <c r="B145" s="187"/>
      <c r="C145" s="189"/>
      <c r="D145" s="190"/>
      <c r="E145" s="190"/>
      <c r="F145" s="189"/>
      <c r="G145" s="191"/>
      <c r="H145" s="61">
        <f t="shared" si="8"/>
        <v>0</v>
      </c>
      <c r="I145" s="199"/>
      <c r="J145" s="62">
        <f t="shared" si="9"/>
        <v>0</v>
      </c>
      <c r="K145" s="94">
        <f t="shared" si="10"/>
        <v>0</v>
      </c>
      <c r="L145" s="61">
        <f t="shared" si="11"/>
        <v>0</v>
      </c>
      <c r="M145" s="198"/>
      <c r="N145" s="1379"/>
      <c r="O145" s="1422"/>
      <c r="P145" s="1380"/>
    </row>
    <row r="146" spans="1:16" s="66" customFormat="1" ht="13">
      <c r="A146" s="186"/>
      <c r="B146" s="187"/>
      <c r="C146" s="189"/>
      <c r="D146" s="190"/>
      <c r="E146" s="190"/>
      <c r="F146" s="189"/>
      <c r="G146" s="191"/>
      <c r="H146" s="61">
        <f t="shared" si="8"/>
        <v>0</v>
      </c>
      <c r="I146" s="199"/>
      <c r="J146" s="62">
        <f t="shared" si="9"/>
        <v>0</v>
      </c>
      <c r="K146" s="94">
        <f t="shared" si="10"/>
        <v>0</v>
      </c>
      <c r="L146" s="61">
        <f t="shared" si="11"/>
        <v>0</v>
      </c>
      <c r="M146" s="198"/>
      <c r="N146" s="1379"/>
      <c r="O146" s="1422"/>
      <c r="P146" s="1380"/>
    </row>
    <row r="147" spans="1:16" s="66" customFormat="1" ht="13">
      <c r="A147" s="186"/>
      <c r="B147" s="187"/>
      <c r="C147" s="189"/>
      <c r="D147" s="190"/>
      <c r="E147" s="190"/>
      <c r="F147" s="189"/>
      <c r="G147" s="191"/>
      <c r="H147" s="61">
        <f t="shared" si="8"/>
        <v>0</v>
      </c>
      <c r="I147" s="199"/>
      <c r="J147" s="62">
        <f t="shared" si="9"/>
        <v>0</v>
      </c>
      <c r="K147" s="94">
        <f t="shared" si="10"/>
        <v>0</v>
      </c>
      <c r="L147" s="61">
        <f t="shared" si="11"/>
        <v>0</v>
      </c>
      <c r="M147" s="198"/>
      <c r="N147" s="1379"/>
      <c r="O147" s="1422"/>
      <c r="P147" s="1380"/>
    </row>
    <row r="148" spans="1:16" s="66" customFormat="1" ht="13">
      <c r="A148" s="186"/>
      <c r="B148" s="187"/>
      <c r="C148" s="189"/>
      <c r="D148" s="190"/>
      <c r="E148" s="190"/>
      <c r="F148" s="189"/>
      <c r="G148" s="191"/>
      <c r="H148" s="61">
        <f t="shared" si="8"/>
        <v>0</v>
      </c>
      <c r="I148" s="199"/>
      <c r="J148" s="62">
        <f t="shared" si="9"/>
        <v>0</v>
      </c>
      <c r="K148" s="94">
        <f t="shared" si="10"/>
        <v>0</v>
      </c>
      <c r="L148" s="61">
        <f t="shared" si="11"/>
        <v>0</v>
      </c>
      <c r="M148" s="198"/>
      <c r="N148" s="1379"/>
      <c r="O148" s="1422"/>
      <c r="P148" s="1380"/>
    </row>
    <row r="149" spans="1:16" s="66" customFormat="1" ht="13">
      <c r="A149" s="186"/>
      <c r="B149" s="187"/>
      <c r="C149" s="189"/>
      <c r="D149" s="190"/>
      <c r="E149" s="190"/>
      <c r="F149" s="189"/>
      <c r="G149" s="191"/>
      <c r="H149" s="61">
        <f t="shared" si="8"/>
        <v>0</v>
      </c>
      <c r="I149" s="199"/>
      <c r="J149" s="62">
        <f t="shared" si="9"/>
        <v>0</v>
      </c>
      <c r="K149" s="94">
        <f t="shared" si="10"/>
        <v>0</v>
      </c>
      <c r="L149" s="61">
        <f t="shared" si="11"/>
        <v>0</v>
      </c>
      <c r="M149" s="198"/>
      <c r="N149" s="1379"/>
      <c r="O149" s="1422"/>
      <c r="P149" s="1380"/>
    </row>
    <row r="150" spans="1:16" s="66" customFormat="1" ht="13">
      <c r="A150" s="186"/>
      <c r="B150" s="187"/>
      <c r="C150" s="189"/>
      <c r="D150" s="190"/>
      <c r="E150" s="190"/>
      <c r="F150" s="189"/>
      <c r="G150" s="191"/>
      <c r="H150" s="61">
        <f t="shared" si="8"/>
        <v>0</v>
      </c>
      <c r="I150" s="199"/>
      <c r="J150" s="62">
        <f t="shared" si="9"/>
        <v>0</v>
      </c>
      <c r="K150" s="94">
        <f t="shared" si="10"/>
        <v>0</v>
      </c>
      <c r="L150" s="61">
        <f t="shared" si="11"/>
        <v>0</v>
      </c>
      <c r="M150" s="198"/>
      <c r="N150" s="1379"/>
      <c r="O150" s="1422"/>
      <c r="P150" s="1380"/>
    </row>
    <row r="151" spans="1:16" s="66" customFormat="1" ht="13">
      <c r="A151" s="186"/>
      <c r="B151" s="187"/>
      <c r="C151" s="189"/>
      <c r="D151" s="190"/>
      <c r="E151" s="190"/>
      <c r="F151" s="189"/>
      <c r="G151" s="191"/>
      <c r="H151" s="61">
        <f t="shared" si="8"/>
        <v>0</v>
      </c>
      <c r="I151" s="199"/>
      <c r="J151" s="62">
        <f t="shared" si="9"/>
        <v>0</v>
      </c>
      <c r="K151" s="94">
        <f t="shared" si="10"/>
        <v>0</v>
      </c>
      <c r="L151" s="61">
        <f t="shared" si="11"/>
        <v>0</v>
      </c>
      <c r="M151" s="198"/>
      <c r="N151" s="1379"/>
      <c r="O151" s="1422"/>
      <c r="P151" s="1380"/>
    </row>
    <row r="152" spans="1:16" s="66" customFormat="1" ht="13">
      <c r="A152" s="186"/>
      <c r="B152" s="187"/>
      <c r="C152" s="189"/>
      <c r="D152" s="190"/>
      <c r="E152" s="190"/>
      <c r="F152" s="189"/>
      <c r="G152" s="191"/>
      <c r="H152" s="61">
        <f t="shared" si="8"/>
        <v>0</v>
      </c>
      <c r="I152" s="199"/>
      <c r="J152" s="62">
        <f t="shared" si="9"/>
        <v>0</v>
      </c>
      <c r="K152" s="94">
        <f t="shared" si="10"/>
        <v>0</v>
      </c>
      <c r="L152" s="61">
        <f t="shared" si="11"/>
        <v>0</v>
      </c>
      <c r="M152" s="198"/>
      <c r="N152" s="1379"/>
      <c r="O152" s="1422"/>
      <c r="P152" s="1380"/>
    </row>
    <row r="153" spans="1:16" s="66" customFormat="1" ht="13">
      <c r="A153" s="186"/>
      <c r="B153" s="187"/>
      <c r="C153" s="189"/>
      <c r="D153" s="190"/>
      <c r="E153" s="190"/>
      <c r="F153" s="189"/>
      <c r="G153" s="191"/>
      <c r="H153" s="61">
        <f t="shared" si="8"/>
        <v>0</v>
      </c>
      <c r="I153" s="199"/>
      <c r="J153" s="62">
        <f t="shared" si="9"/>
        <v>0</v>
      </c>
      <c r="K153" s="94">
        <f t="shared" si="10"/>
        <v>0</v>
      </c>
      <c r="L153" s="61">
        <f t="shared" si="11"/>
        <v>0</v>
      </c>
      <c r="M153" s="198"/>
      <c r="N153" s="1379"/>
      <c r="O153" s="1422"/>
      <c r="P153" s="1380"/>
    </row>
    <row r="154" spans="1:16" s="66" customFormat="1" ht="13">
      <c r="A154" s="186"/>
      <c r="B154" s="187"/>
      <c r="C154" s="189"/>
      <c r="D154" s="190"/>
      <c r="E154" s="190"/>
      <c r="F154" s="189"/>
      <c r="G154" s="191"/>
      <c r="H154" s="61">
        <f t="shared" si="8"/>
        <v>0</v>
      </c>
      <c r="I154" s="199"/>
      <c r="J154" s="62">
        <f t="shared" si="9"/>
        <v>0</v>
      </c>
      <c r="K154" s="94">
        <f t="shared" si="10"/>
        <v>0</v>
      </c>
      <c r="L154" s="61">
        <f t="shared" si="11"/>
        <v>0</v>
      </c>
      <c r="M154" s="198"/>
      <c r="N154" s="1379"/>
      <c r="O154" s="1422"/>
      <c r="P154" s="1380"/>
    </row>
    <row r="155" spans="1:16" s="66" customFormat="1" ht="13">
      <c r="A155" s="186"/>
      <c r="B155" s="187"/>
      <c r="C155" s="189"/>
      <c r="D155" s="190"/>
      <c r="E155" s="190"/>
      <c r="F155" s="189"/>
      <c r="G155" s="191"/>
      <c r="H155" s="61">
        <f t="shared" si="8"/>
        <v>0</v>
      </c>
      <c r="I155" s="199"/>
      <c r="J155" s="62">
        <f t="shared" si="9"/>
        <v>0</v>
      </c>
      <c r="K155" s="94">
        <f t="shared" si="10"/>
        <v>0</v>
      </c>
      <c r="L155" s="61">
        <f t="shared" si="11"/>
        <v>0</v>
      </c>
      <c r="M155" s="198"/>
      <c r="N155" s="1379"/>
      <c r="O155" s="1422"/>
      <c r="P155" s="1380"/>
    </row>
    <row r="156" spans="1:16" s="66" customFormat="1" ht="13">
      <c r="A156" s="186"/>
      <c r="B156" s="187"/>
      <c r="C156" s="189"/>
      <c r="D156" s="190"/>
      <c r="E156" s="190"/>
      <c r="F156" s="189"/>
      <c r="G156" s="191"/>
      <c r="H156" s="61">
        <f t="shared" si="8"/>
        <v>0</v>
      </c>
      <c r="I156" s="199"/>
      <c r="J156" s="62">
        <f t="shared" si="9"/>
        <v>0</v>
      </c>
      <c r="K156" s="94">
        <f t="shared" si="10"/>
        <v>0</v>
      </c>
      <c r="L156" s="61">
        <f t="shared" si="11"/>
        <v>0</v>
      </c>
      <c r="M156" s="198"/>
      <c r="N156" s="1379"/>
      <c r="O156" s="1422"/>
      <c r="P156" s="1380"/>
    </row>
    <row r="157" spans="1:16" s="66" customFormat="1" ht="13">
      <c r="A157" s="186"/>
      <c r="B157" s="187"/>
      <c r="C157" s="189"/>
      <c r="D157" s="190"/>
      <c r="E157" s="190"/>
      <c r="F157" s="189"/>
      <c r="G157" s="191"/>
      <c r="H157" s="61">
        <f t="shared" si="8"/>
        <v>0</v>
      </c>
      <c r="I157" s="199"/>
      <c r="J157" s="62">
        <f t="shared" si="9"/>
        <v>0</v>
      </c>
      <c r="K157" s="94">
        <f t="shared" si="10"/>
        <v>0</v>
      </c>
      <c r="L157" s="61">
        <f t="shared" si="11"/>
        <v>0</v>
      </c>
      <c r="M157" s="198"/>
      <c r="N157" s="1379"/>
      <c r="O157" s="1422"/>
      <c r="P157" s="1380"/>
    </row>
    <row r="158" spans="1:16" s="66" customFormat="1" ht="13">
      <c r="A158" s="186"/>
      <c r="B158" s="187"/>
      <c r="C158" s="189"/>
      <c r="D158" s="190"/>
      <c r="E158" s="190"/>
      <c r="F158" s="189"/>
      <c r="G158" s="191"/>
      <c r="H158" s="61">
        <f t="shared" si="8"/>
        <v>0</v>
      </c>
      <c r="I158" s="199"/>
      <c r="J158" s="62">
        <f t="shared" si="9"/>
        <v>0</v>
      </c>
      <c r="K158" s="94">
        <f t="shared" si="10"/>
        <v>0</v>
      </c>
      <c r="L158" s="61">
        <f t="shared" si="11"/>
        <v>0</v>
      </c>
      <c r="M158" s="198"/>
      <c r="N158" s="1379"/>
      <c r="O158" s="1422"/>
      <c r="P158" s="1380"/>
    </row>
    <row r="159" spans="1:16" s="66" customFormat="1" ht="13">
      <c r="A159" s="186"/>
      <c r="B159" s="187"/>
      <c r="C159" s="189"/>
      <c r="D159" s="190"/>
      <c r="E159" s="190"/>
      <c r="F159" s="189"/>
      <c r="G159" s="191"/>
      <c r="H159" s="61">
        <f t="shared" si="8"/>
        <v>0</v>
      </c>
      <c r="I159" s="199"/>
      <c r="J159" s="62">
        <f t="shared" si="9"/>
        <v>0</v>
      </c>
      <c r="K159" s="94">
        <f t="shared" si="10"/>
        <v>0</v>
      </c>
      <c r="L159" s="61">
        <f t="shared" si="11"/>
        <v>0</v>
      </c>
      <c r="M159" s="198"/>
      <c r="N159" s="1379"/>
      <c r="O159" s="1422"/>
      <c r="P159" s="1380"/>
    </row>
    <row r="160" spans="1:16" s="66" customFormat="1" ht="13">
      <c r="A160" s="186"/>
      <c r="B160" s="187"/>
      <c r="C160" s="189"/>
      <c r="D160" s="190"/>
      <c r="E160" s="190"/>
      <c r="F160" s="189"/>
      <c r="G160" s="191"/>
      <c r="H160" s="61">
        <f t="shared" si="8"/>
        <v>0</v>
      </c>
      <c r="I160" s="199"/>
      <c r="J160" s="62">
        <f t="shared" si="9"/>
        <v>0</v>
      </c>
      <c r="K160" s="94">
        <f t="shared" si="10"/>
        <v>0</v>
      </c>
      <c r="L160" s="61">
        <f t="shared" si="11"/>
        <v>0</v>
      </c>
      <c r="M160" s="198"/>
      <c r="N160" s="1379"/>
      <c r="O160" s="1422"/>
      <c r="P160" s="1380"/>
    </row>
    <row r="161" spans="1:16" s="66" customFormat="1" ht="13">
      <c r="A161" s="186"/>
      <c r="B161" s="187"/>
      <c r="C161" s="189"/>
      <c r="D161" s="190"/>
      <c r="E161" s="190"/>
      <c r="F161" s="189"/>
      <c r="G161" s="191"/>
      <c r="H161" s="61">
        <f t="shared" si="8"/>
        <v>0</v>
      </c>
      <c r="I161" s="199"/>
      <c r="J161" s="62">
        <f t="shared" si="9"/>
        <v>0</v>
      </c>
      <c r="K161" s="94">
        <f t="shared" si="10"/>
        <v>0</v>
      </c>
      <c r="L161" s="61">
        <f t="shared" si="11"/>
        <v>0</v>
      </c>
      <c r="M161" s="198"/>
      <c r="N161" s="1379"/>
      <c r="O161" s="1422"/>
      <c r="P161" s="1380"/>
    </row>
    <row r="162" spans="1:16" s="66" customFormat="1" ht="13">
      <c r="A162" s="186"/>
      <c r="B162" s="187"/>
      <c r="C162" s="189"/>
      <c r="D162" s="190"/>
      <c r="E162" s="190"/>
      <c r="F162" s="189"/>
      <c r="G162" s="191"/>
      <c r="H162" s="61">
        <f t="shared" si="8"/>
        <v>0</v>
      </c>
      <c r="I162" s="199"/>
      <c r="J162" s="62">
        <f t="shared" si="9"/>
        <v>0</v>
      </c>
      <c r="K162" s="94">
        <f t="shared" si="10"/>
        <v>0</v>
      </c>
      <c r="L162" s="61">
        <f t="shared" si="11"/>
        <v>0</v>
      </c>
      <c r="M162" s="198"/>
      <c r="N162" s="1379"/>
      <c r="O162" s="1422"/>
      <c r="P162" s="1380"/>
    </row>
    <row r="163" spans="1:16" s="66" customFormat="1" ht="13">
      <c r="A163" s="186"/>
      <c r="B163" s="187"/>
      <c r="C163" s="189"/>
      <c r="D163" s="190"/>
      <c r="E163" s="190"/>
      <c r="F163" s="189"/>
      <c r="G163" s="191"/>
      <c r="H163" s="61">
        <f t="shared" si="8"/>
        <v>0</v>
      </c>
      <c r="I163" s="199"/>
      <c r="J163" s="62">
        <f t="shared" si="9"/>
        <v>0</v>
      </c>
      <c r="K163" s="94">
        <f t="shared" si="10"/>
        <v>0</v>
      </c>
      <c r="L163" s="61">
        <f t="shared" si="11"/>
        <v>0</v>
      </c>
      <c r="M163" s="198"/>
      <c r="N163" s="1379"/>
      <c r="O163" s="1422"/>
      <c r="P163" s="1380"/>
    </row>
    <row r="164" spans="1:16" s="66" customFormat="1" ht="13">
      <c r="A164" s="186"/>
      <c r="B164" s="187"/>
      <c r="C164" s="189"/>
      <c r="D164" s="190"/>
      <c r="E164" s="190"/>
      <c r="F164" s="189"/>
      <c r="G164" s="191"/>
      <c r="H164" s="61">
        <f t="shared" si="8"/>
        <v>0</v>
      </c>
      <c r="I164" s="199"/>
      <c r="J164" s="62">
        <f t="shared" si="9"/>
        <v>0</v>
      </c>
      <c r="K164" s="94">
        <f t="shared" si="10"/>
        <v>0</v>
      </c>
      <c r="L164" s="61">
        <f t="shared" si="11"/>
        <v>0</v>
      </c>
      <c r="M164" s="198"/>
      <c r="N164" s="1379"/>
      <c r="O164" s="1422"/>
      <c r="P164" s="1380"/>
    </row>
    <row r="165" spans="1:16" s="66" customFormat="1" ht="13">
      <c r="A165" s="186"/>
      <c r="B165" s="187"/>
      <c r="C165" s="189"/>
      <c r="D165" s="190"/>
      <c r="E165" s="190"/>
      <c r="F165" s="189"/>
      <c r="G165" s="191"/>
      <c r="H165" s="61">
        <f t="shared" si="8"/>
        <v>0</v>
      </c>
      <c r="I165" s="199"/>
      <c r="J165" s="62">
        <f t="shared" si="9"/>
        <v>0</v>
      </c>
      <c r="K165" s="94">
        <f t="shared" si="10"/>
        <v>0</v>
      </c>
      <c r="L165" s="61">
        <f t="shared" si="11"/>
        <v>0</v>
      </c>
      <c r="M165" s="198"/>
      <c r="N165" s="1379"/>
      <c r="O165" s="1422"/>
      <c r="P165" s="1380"/>
    </row>
    <row r="166" spans="1:16" s="66" customFormat="1" ht="13">
      <c r="A166" s="186"/>
      <c r="B166" s="187"/>
      <c r="C166" s="189"/>
      <c r="D166" s="190"/>
      <c r="E166" s="190"/>
      <c r="F166" s="189"/>
      <c r="G166" s="191"/>
      <c r="H166" s="61">
        <f t="shared" si="8"/>
        <v>0</v>
      </c>
      <c r="I166" s="199"/>
      <c r="J166" s="62">
        <f t="shared" si="9"/>
        <v>0</v>
      </c>
      <c r="K166" s="94">
        <f t="shared" si="10"/>
        <v>0</v>
      </c>
      <c r="L166" s="61">
        <f t="shared" si="11"/>
        <v>0</v>
      </c>
      <c r="M166" s="198"/>
      <c r="N166" s="1379"/>
      <c r="O166" s="1422"/>
      <c r="P166" s="1380"/>
    </row>
    <row r="167" spans="1:16" s="66" customFormat="1" ht="13">
      <c r="A167" s="186"/>
      <c r="B167" s="187"/>
      <c r="C167" s="189"/>
      <c r="D167" s="190"/>
      <c r="E167" s="190"/>
      <c r="F167" s="189"/>
      <c r="G167" s="191"/>
      <c r="H167" s="61">
        <f t="shared" si="8"/>
        <v>0</v>
      </c>
      <c r="I167" s="199"/>
      <c r="J167" s="62">
        <f t="shared" si="9"/>
        <v>0</v>
      </c>
      <c r="K167" s="94">
        <f t="shared" si="10"/>
        <v>0</v>
      </c>
      <c r="L167" s="61">
        <f t="shared" si="11"/>
        <v>0</v>
      </c>
      <c r="M167" s="198"/>
      <c r="N167" s="1379"/>
      <c r="O167" s="1422"/>
      <c r="P167" s="1380"/>
    </row>
    <row r="168" spans="1:16" s="66" customFormat="1" ht="13">
      <c r="A168" s="186"/>
      <c r="B168" s="187"/>
      <c r="C168" s="189"/>
      <c r="D168" s="190"/>
      <c r="E168" s="190"/>
      <c r="F168" s="189"/>
      <c r="G168" s="191"/>
      <c r="H168" s="61">
        <f t="shared" si="8"/>
        <v>0</v>
      </c>
      <c r="I168" s="199"/>
      <c r="J168" s="62">
        <f t="shared" si="9"/>
        <v>0</v>
      </c>
      <c r="K168" s="94">
        <f t="shared" si="10"/>
        <v>0</v>
      </c>
      <c r="L168" s="61">
        <f t="shared" si="11"/>
        <v>0</v>
      </c>
      <c r="M168" s="198"/>
      <c r="N168" s="1379"/>
      <c r="O168" s="1422"/>
      <c r="P168" s="1380"/>
    </row>
    <row r="169" spans="1:16" s="66" customFormat="1" ht="13">
      <c r="A169" s="186"/>
      <c r="B169" s="187"/>
      <c r="C169" s="189"/>
      <c r="D169" s="190"/>
      <c r="E169" s="190"/>
      <c r="F169" s="189"/>
      <c r="G169" s="191"/>
      <c r="H169" s="61">
        <f t="shared" si="8"/>
        <v>0</v>
      </c>
      <c r="I169" s="199"/>
      <c r="J169" s="62">
        <f t="shared" si="9"/>
        <v>0</v>
      </c>
      <c r="K169" s="94">
        <f t="shared" si="10"/>
        <v>0</v>
      </c>
      <c r="L169" s="61">
        <f t="shared" si="11"/>
        <v>0</v>
      </c>
      <c r="M169" s="198"/>
      <c r="N169" s="1379"/>
      <c r="O169" s="1422"/>
      <c r="P169" s="1380"/>
    </row>
    <row r="170" spans="1:16" s="66" customFormat="1" ht="13">
      <c r="A170" s="186"/>
      <c r="B170" s="187"/>
      <c r="C170" s="189"/>
      <c r="D170" s="190"/>
      <c r="E170" s="190"/>
      <c r="F170" s="189"/>
      <c r="G170" s="191"/>
      <c r="H170" s="61">
        <f t="shared" si="8"/>
        <v>0</v>
      </c>
      <c r="I170" s="199"/>
      <c r="J170" s="62">
        <f t="shared" si="9"/>
        <v>0</v>
      </c>
      <c r="K170" s="94">
        <f t="shared" si="10"/>
        <v>0</v>
      </c>
      <c r="L170" s="61">
        <f t="shared" si="11"/>
        <v>0</v>
      </c>
      <c r="M170" s="198"/>
      <c r="N170" s="1379"/>
      <c r="O170" s="1422"/>
      <c r="P170" s="1380"/>
    </row>
    <row r="171" spans="1:16" s="66" customFormat="1" ht="13">
      <c r="A171" s="186"/>
      <c r="B171" s="187"/>
      <c r="C171" s="189"/>
      <c r="D171" s="190"/>
      <c r="E171" s="190"/>
      <c r="F171" s="189"/>
      <c r="G171" s="191"/>
      <c r="H171" s="61">
        <f t="shared" si="8"/>
        <v>0</v>
      </c>
      <c r="I171" s="199"/>
      <c r="J171" s="62">
        <f t="shared" si="9"/>
        <v>0</v>
      </c>
      <c r="K171" s="94">
        <f t="shared" si="10"/>
        <v>0</v>
      </c>
      <c r="L171" s="61">
        <f t="shared" si="11"/>
        <v>0</v>
      </c>
      <c r="M171" s="198"/>
      <c r="N171" s="1379"/>
      <c r="O171" s="1422"/>
      <c r="P171" s="1380"/>
    </row>
    <row r="172" spans="1:16" s="66" customFormat="1" ht="13">
      <c r="A172" s="186"/>
      <c r="B172" s="187"/>
      <c r="C172" s="189"/>
      <c r="D172" s="190"/>
      <c r="E172" s="190"/>
      <c r="F172" s="189"/>
      <c r="G172" s="191"/>
      <c r="H172" s="61">
        <f t="shared" si="8"/>
        <v>0</v>
      </c>
      <c r="I172" s="199"/>
      <c r="J172" s="62">
        <f t="shared" si="9"/>
        <v>0</v>
      </c>
      <c r="K172" s="94">
        <f t="shared" si="10"/>
        <v>0</v>
      </c>
      <c r="L172" s="61">
        <f t="shared" si="11"/>
        <v>0</v>
      </c>
      <c r="M172" s="198"/>
      <c r="N172" s="1379"/>
      <c r="O172" s="1422"/>
      <c r="P172" s="1380"/>
    </row>
    <row r="173" spans="1:16" s="66" customFormat="1" ht="13">
      <c r="A173" s="186"/>
      <c r="B173" s="187"/>
      <c r="C173" s="189"/>
      <c r="D173" s="190"/>
      <c r="E173" s="190"/>
      <c r="F173" s="189"/>
      <c r="G173" s="191"/>
      <c r="H173" s="61">
        <f t="shared" si="8"/>
        <v>0</v>
      </c>
      <c r="I173" s="199"/>
      <c r="J173" s="62">
        <f t="shared" si="9"/>
        <v>0</v>
      </c>
      <c r="K173" s="94">
        <f t="shared" si="10"/>
        <v>0</v>
      </c>
      <c r="L173" s="61">
        <f t="shared" si="11"/>
        <v>0</v>
      </c>
      <c r="M173" s="198"/>
      <c r="N173" s="1379"/>
      <c r="O173" s="1422"/>
      <c r="P173" s="1380"/>
    </row>
    <row r="174" spans="1:16" s="66" customFormat="1" ht="13">
      <c r="A174" s="186"/>
      <c r="B174" s="187"/>
      <c r="C174" s="189"/>
      <c r="D174" s="190"/>
      <c r="E174" s="190"/>
      <c r="F174" s="189"/>
      <c r="G174" s="191"/>
      <c r="H174" s="61">
        <f t="shared" si="8"/>
        <v>0</v>
      </c>
      <c r="I174" s="199"/>
      <c r="J174" s="62">
        <f t="shared" si="9"/>
        <v>0</v>
      </c>
      <c r="K174" s="94">
        <f t="shared" si="10"/>
        <v>0</v>
      </c>
      <c r="L174" s="61">
        <f t="shared" si="11"/>
        <v>0</v>
      </c>
      <c r="M174" s="198"/>
      <c r="N174" s="1379"/>
      <c r="O174" s="1422"/>
      <c r="P174" s="1380"/>
    </row>
    <row r="175" spans="1:16" s="66" customFormat="1" ht="13">
      <c r="A175" s="186"/>
      <c r="B175" s="187"/>
      <c r="C175" s="189"/>
      <c r="D175" s="190"/>
      <c r="E175" s="190"/>
      <c r="F175" s="189"/>
      <c r="G175" s="191"/>
      <c r="H175" s="61">
        <f t="shared" si="8"/>
        <v>0</v>
      </c>
      <c r="I175" s="199"/>
      <c r="J175" s="62">
        <f t="shared" si="9"/>
        <v>0</v>
      </c>
      <c r="K175" s="94">
        <f t="shared" si="10"/>
        <v>0</v>
      </c>
      <c r="L175" s="61">
        <f t="shared" si="11"/>
        <v>0</v>
      </c>
      <c r="M175" s="198"/>
      <c r="N175" s="1379"/>
      <c r="O175" s="1422"/>
      <c r="P175" s="1380"/>
    </row>
    <row r="176" spans="1:16" s="66" customFormat="1" ht="13">
      <c r="A176" s="186"/>
      <c r="B176" s="187"/>
      <c r="C176" s="189"/>
      <c r="D176" s="190"/>
      <c r="E176" s="190"/>
      <c r="F176" s="189"/>
      <c r="G176" s="191"/>
      <c r="H176" s="61">
        <f t="shared" si="8"/>
        <v>0</v>
      </c>
      <c r="I176" s="199"/>
      <c r="J176" s="62">
        <f t="shared" si="9"/>
        <v>0</v>
      </c>
      <c r="K176" s="94">
        <f t="shared" si="10"/>
        <v>0</v>
      </c>
      <c r="L176" s="61">
        <f t="shared" si="11"/>
        <v>0</v>
      </c>
      <c r="M176" s="198"/>
      <c r="N176" s="1379"/>
      <c r="O176" s="1422"/>
      <c r="P176" s="1380"/>
    </row>
    <row r="177" spans="1:16" s="66" customFormat="1" ht="13">
      <c r="A177" s="186"/>
      <c r="B177" s="187"/>
      <c r="C177" s="189"/>
      <c r="D177" s="190"/>
      <c r="E177" s="190"/>
      <c r="F177" s="189"/>
      <c r="G177" s="191"/>
      <c r="H177" s="61">
        <f t="shared" si="8"/>
        <v>0</v>
      </c>
      <c r="I177" s="199"/>
      <c r="J177" s="62">
        <f t="shared" si="9"/>
        <v>0</v>
      </c>
      <c r="K177" s="94">
        <f t="shared" si="10"/>
        <v>0</v>
      </c>
      <c r="L177" s="61">
        <f t="shared" si="11"/>
        <v>0</v>
      </c>
      <c r="M177" s="198"/>
      <c r="N177" s="1379"/>
      <c r="O177" s="1422"/>
      <c r="P177" s="1380"/>
    </row>
    <row r="178" spans="1:16" s="66" customFormat="1" ht="13">
      <c r="A178" s="186"/>
      <c r="B178" s="187"/>
      <c r="C178" s="189"/>
      <c r="D178" s="190"/>
      <c r="E178" s="190"/>
      <c r="F178" s="189"/>
      <c r="G178" s="191"/>
      <c r="H178" s="61">
        <f t="shared" si="8"/>
        <v>0</v>
      </c>
      <c r="I178" s="199"/>
      <c r="J178" s="62">
        <f t="shared" si="9"/>
        <v>0</v>
      </c>
      <c r="K178" s="94">
        <f t="shared" si="10"/>
        <v>0</v>
      </c>
      <c r="L178" s="61">
        <f t="shared" si="11"/>
        <v>0</v>
      </c>
      <c r="M178" s="198"/>
      <c r="N178" s="1379"/>
      <c r="O178" s="1422"/>
      <c r="P178" s="1380"/>
    </row>
    <row r="179" spans="1:16" s="66" customFormat="1" ht="13">
      <c r="A179" s="186"/>
      <c r="B179" s="187"/>
      <c r="C179" s="189"/>
      <c r="D179" s="190"/>
      <c r="E179" s="190"/>
      <c r="F179" s="189"/>
      <c r="G179" s="191"/>
      <c r="H179" s="61">
        <f t="shared" si="8"/>
        <v>0</v>
      </c>
      <c r="I179" s="199"/>
      <c r="J179" s="62">
        <f t="shared" si="9"/>
        <v>0</v>
      </c>
      <c r="K179" s="94">
        <f t="shared" si="10"/>
        <v>0</v>
      </c>
      <c r="L179" s="61">
        <f t="shared" si="11"/>
        <v>0</v>
      </c>
      <c r="M179" s="198"/>
      <c r="N179" s="1379"/>
      <c r="O179" s="1422"/>
      <c r="P179" s="1380"/>
    </row>
    <row r="180" spans="1:16" s="66" customFormat="1" ht="13">
      <c r="A180" s="186"/>
      <c r="B180" s="187"/>
      <c r="C180" s="189"/>
      <c r="D180" s="190"/>
      <c r="E180" s="190"/>
      <c r="F180" s="189"/>
      <c r="G180" s="191"/>
      <c r="H180" s="61">
        <f t="shared" si="8"/>
        <v>0</v>
      </c>
      <c r="I180" s="199"/>
      <c r="J180" s="62">
        <f t="shared" si="9"/>
        <v>0</v>
      </c>
      <c r="K180" s="94">
        <f t="shared" si="10"/>
        <v>0</v>
      </c>
      <c r="L180" s="61">
        <f t="shared" si="11"/>
        <v>0</v>
      </c>
      <c r="M180" s="198"/>
      <c r="N180" s="1379"/>
      <c r="O180" s="1422"/>
      <c r="P180" s="1380"/>
    </row>
    <row r="181" spans="1:16" s="66" customFormat="1" ht="13">
      <c r="A181" s="186"/>
      <c r="B181" s="187"/>
      <c r="C181" s="189"/>
      <c r="D181" s="190"/>
      <c r="E181" s="190"/>
      <c r="F181" s="189"/>
      <c r="G181" s="191"/>
      <c r="H181" s="61">
        <f t="shared" si="8"/>
        <v>0</v>
      </c>
      <c r="I181" s="199"/>
      <c r="J181" s="62">
        <f t="shared" si="9"/>
        <v>0</v>
      </c>
      <c r="K181" s="94">
        <f t="shared" si="10"/>
        <v>0</v>
      </c>
      <c r="L181" s="61">
        <f t="shared" si="11"/>
        <v>0</v>
      </c>
      <c r="M181" s="198"/>
      <c r="N181" s="1379"/>
      <c r="O181" s="1422"/>
      <c r="P181" s="1380"/>
    </row>
    <row r="182" spans="1:16" s="66" customFormat="1" ht="13">
      <c r="A182" s="186"/>
      <c r="B182" s="187"/>
      <c r="C182" s="189"/>
      <c r="D182" s="190"/>
      <c r="E182" s="190"/>
      <c r="F182" s="189"/>
      <c r="G182" s="191"/>
      <c r="H182" s="61">
        <f t="shared" si="8"/>
        <v>0</v>
      </c>
      <c r="I182" s="199"/>
      <c r="J182" s="62">
        <f t="shared" si="9"/>
        <v>0</v>
      </c>
      <c r="K182" s="94">
        <f t="shared" si="10"/>
        <v>0</v>
      </c>
      <c r="L182" s="61">
        <f t="shared" si="11"/>
        <v>0</v>
      </c>
      <c r="M182" s="198"/>
      <c r="N182" s="1379"/>
      <c r="O182" s="1422"/>
      <c r="P182" s="1380"/>
    </row>
    <row r="183" spans="1:16" s="66" customFormat="1" ht="13">
      <c r="A183" s="186"/>
      <c r="B183" s="187"/>
      <c r="C183" s="189"/>
      <c r="D183" s="190"/>
      <c r="E183" s="190"/>
      <c r="F183" s="189"/>
      <c r="G183" s="191"/>
      <c r="H183" s="61">
        <f t="shared" si="8"/>
        <v>0</v>
      </c>
      <c r="I183" s="199"/>
      <c r="J183" s="62">
        <f t="shared" si="9"/>
        <v>0</v>
      </c>
      <c r="K183" s="94">
        <f t="shared" si="10"/>
        <v>0</v>
      </c>
      <c r="L183" s="61">
        <f t="shared" si="11"/>
        <v>0</v>
      </c>
      <c r="M183" s="198"/>
      <c r="N183" s="1379"/>
      <c r="O183" s="1422"/>
      <c r="P183" s="1380"/>
    </row>
    <row r="184" spans="1:16" s="66" customFormat="1" ht="13">
      <c r="A184" s="186"/>
      <c r="B184" s="187"/>
      <c r="C184" s="189"/>
      <c r="D184" s="190"/>
      <c r="E184" s="190"/>
      <c r="F184" s="189"/>
      <c r="G184" s="191"/>
      <c r="H184" s="61">
        <f t="shared" si="8"/>
        <v>0</v>
      </c>
      <c r="I184" s="199"/>
      <c r="J184" s="62">
        <f t="shared" si="9"/>
        <v>0</v>
      </c>
      <c r="K184" s="94">
        <f t="shared" si="10"/>
        <v>0</v>
      </c>
      <c r="L184" s="61">
        <f t="shared" si="11"/>
        <v>0</v>
      </c>
      <c r="M184" s="198"/>
      <c r="N184" s="1379"/>
      <c r="O184" s="1422"/>
      <c r="P184" s="1380"/>
    </row>
    <row r="185" spans="1:16" s="66" customFormat="1" ht="13">
      <c r="A185" s="186"/>
      <c r="B185" s="187"/>
      <c r="C185" s="189"/>
      <c r="D185" s="190"/>
      <c r="E185" s="190"/>
      <c r="F185" s="189"/>
      <c r="G185" s="191"/>
      <c r="H185" s="61">
        <f t="shared" si="8"/>
        <v>0</v>
      </c>
      <c r="I185" s="199"/>
      <c r="J185" s="62">
        <f t="shared" si="9"/>
        <v>0</v>
      </c>
      <c r="K185" s="94">
        <f t="shared" si="10"/>
        <v>0</v>
      </c>
      <c r="L185" s="61">
        <f t="shared" si="11"/>
        <v>0</v>
      </c>
      <c r="M185" s="198"/>
      <c r="N185" s="1379"/>
      <c r="O185" s="1422"/>
      <c r="P185" s="1380"/>
    </row>
    <row r="186" spans="1:16" s="66" customFormat="1" ht="13">
      <c r="A186" s="186"/>
      <c r="B186" s="187"/>
      <c r="C186" s="189"/>
      <c r="D186" s="190"/>
      <c r="E186" s="190"/>
      <c r="F186" s="189"/>
      <c r="G186" s="191"/>
      <c r="H186" s="61">
        <f t="shared" si="8"/>
        <v>0</v>
      </c>
      <c r="I186" s="199"/>
      <c r="J186" s="62">
        <f t="shared" si="9"/>
        <v>0</v>
      </c>
      <c r="K186" s="94">
        <f t="shared" si="10"/>
        <v>0</v>
      </c>
      <c r="L186" s="61">
        <f t="shared" si="11"/>
        <v>0</v>
      </c>
      <c r="M186" s="198"/>
      <c r="N186" s="1379"/>
      <c r="O186" s="1422"/>
      <c r="P186" s="1380"/>
    </row>
    <row r="187" spans="1:16" s="66" customFormat="1" ht="13">
      <c r="A187" s="186"/>
      <c r="B187" s="187"/>
      <c r="C187" s="189"/>
      <c r="D187" s="190"/>
      <c r="E187" s="190"/>
      <c r="F187" s="189"/>
      <c r="G187" s="191"/>
      <c r="H187" s="61">
        <f t="shared" si="8"/>
        <v>0</v>
      </c>
      <c r="I187" s="199"/>
      <c r="J187" s="62">
        <f t="shared" si="9"/>
        <v>0</v>
      </c>
      <c r="K187" s="94">
        <f t="shared" si="10"/>
        <v>0</v>
      </c>
      <c r="L187" s="61">
        <f t="shared" si="11"/>
        <v>0</v>
      </c>
      <c r="M187" s="198"/>
      <c r="N187" s="1379"/>
      <c r="O187" s="1422"/>
      <c r="P187" s="1380"/>
    </row>
    <row r="188" spans="1:16" s="66" customFormat="1" ht="13">
      <c r="A188" s="186"/>
      <c r="B188" s="187"/>
      <c r="C188" s="189"/>
      <c r="D188" s="190"/>
      <c r="E188" s="190"/>
      <c r="F188" s="189"/>
      <c r="G188" s="191"/>
      <c r="H188" s="61">
        <f t="shared" si="8"/>
        <v>0</v>
      </c>
      <c r="I188" s="199"/>
      <c r="J188" s="62">
        <f t="shared" si="9"/>
        <v>0</v>
      </c>
      <c r="K188" s="94">
        <f t="shared" si="10"/>
        <v>0</v>
      </c>
      <c r="L188" s="61">
        <f t="shared" si="11"/>
        <v>0</v>
      </c>
      <c r="M188" s="198"/>
      <c r="N188" s="1379"/>
      <c r="O188" s="1422"/>
      <c r="P188" s="1380"/>
    </row>
    <row r="189" spans="1:16" s="66" customFormat="1" ht="13">
      <c r="A189" s="186"/>
      <c r="B189" s="187"/>
      <c r="C189" s="189"/>
      <c r="D189" s="190"/>
      <c r="E189" s="190"/>
      <c r="F189" s="189"/>
      <c r="G189" s="191"/>
      <c r="H189" s="61">
        <f t="shared" si="8"/>
        <v>0</v>
      </c>
      <c r="I189" s="199"/>
      <c r="J189" s="62">
        <f t="shared" si="9"/>
        <v>0</v>
      </c>
      <c r="K189" s="94">
        <f t="shared" si="10"/>
        <v>0</v>
      </c>
      <c r="L189" s="61">
        <f t="shared" si="11"/>
        <v>0</v>
      </c>
      <c r="M189" s="198"/>
      <c r="N189" s="1379"/>
      <c r="O189" s="1422"/>
      <c r="P189" s="1380"/>
    </row>
    <row r="190" spans="1:16" s="66" customFormat="1" ht="13">
      <c r="A190" s="186"/>
      <c r="B190" s="187"/>
      <c r="C190" s="189"/>
      <c r="D190" s="190"/>
      <c r="E190" s="190"/>
      <c r="F190" s="189"/>
      <c r="G190" s="191"/>
      <c r="H190" s="61">
        <f t="shared" si="8"/>
        <v>0</v>
      </c>
      <c r="I190" s="199"/>
      <c r="J190" s="62">
        <f t="shared" si="9"/>
        <v>0</v>
      </c>
      <c r="K190" s="94">
        <f t="shared" si="10"/>
        <v>0</v>
      </c>
      <c r="L190" s="61">
        <f t="shared" si="11"/>
        <v>0</v>
      </c>
      <c r="M190" s="198"/>
      <c r="N190" s="1379"/>
      <c r="O190" s="1422"/>
      <c r="P190" s="1380"/>
    </row>
    <row r="191" spans="1:16" s="66" customFormat="1" ht="13">
      <c r="A191" s="186"/>
      <c r="B191" s="187"/>
      <c r="C191" s="189"/>
      <c r="D191" s="190"/>
      <c r="E191" s="190"/>
      <c r="F191" s="189"/>
      <c r="G191" s="191"/>
      <c r="H191" s="61">
        <f t="shared" si="8"/>
        <v>0</v>
      </c>
      <c r="I191" s="199"/>
      <c r="J191" s="62">
        <f t="shared" si="9"/>
        <v>0</v>
      </c>
      <c r="K191" s="94">
        <f t="shared" si="10"/>
        <v>0</v>
      </c>
      <c r="L191" s="61">
        <f t="shared" si="11"/>
        <v>0</v>
      </c>
      <c r="M191" s="198"/>
      <c r="N191" s="1379"/>
      <c r="O191" s="1422"/>
      <c r="P191" s="1380"/>
    </row>
    <row r="192" spans="1:16" s="66" customFormat="1" ht="13">
      <c r="A192" s="186"/>
      <c r="B192" s="187"/>
      <c r="C192" s="189"/>
      <c r="D192" s="190"/>
      <c r="E192" s="190"/>
      <c r="F192" s="189"/>
      <c r="G192" s="191"/>
      <c r="H192" s="61">
        <f t="shared" si="8"/>
        <v>0</v>
      </c>
      <c r="I192" s="199"/>
      <c r="J192" s="62">
        <f t="shared" si="9"/>
        <v>0</v>
      </c>
      <c r="K192" s="94">
        <f t="shared" si="10"/>
        <v>0</v>
      </c>
      <c r="L192" s="61">
        <f t="shared" si="11"/>
        <v>0</v>
      </c>
      <c r="M192" s="198"/>
      <c r="N192" s="1379"/>
      <c r="O192" s="1422"/>
      <c r="P192" s="1380"/>
    </row>
    <row r="193" spans="1:16" s="66" customFormat="1" ht="13">
      <c r="A193" s="186"/>
      <c r="B193" s="187"/>
      <c r="C193" s="189"/>
      <c r="D193" s="190"/>
      <c r="E193" s="190"/>
      <c r="F193" s="189"/>
      <c r="G193" s="191"/>
      <c r="H193" s="61">
        <f t="shared" si="8"/>
        <v>0</v>
      </c>
      <c r="I193" s="199"/>
      <c r="J193" s="62">
        <f t="shared" si="9"/>
        <v>0</v>
      </c>
      <c r="K193" s="94">
        <f t="shared" si="10"/>
        <v>0</v>
      </c>
      <c r="L193" s="61">
        <f t="shared" si="11"/>
        <v>0</v>
      </c>
      <c r="M193" s="198"/>
      <c r="N193" s="1379"/>
      <c r="O193" s="1422"/>
      <c r="P193" s="1380"/>
    </row>
    <row r="194" spans="1:16" s="66" customFormat="1" ht="13">
      <c r="A194" s="186"/>
      <c r="B194" s="187"/>
      <c r="C194" s="189"/>
      <c r="D194" s="190"/>
      <c r="E194" s="190"/>
      <c r="F194" s="189"/>
      <c r="G194" s="191"/>
      <c r="H194" s="61">
        <f t="shared" si="8"/>
        <v>0</v>
      </c>
      <c r="I194" s="199"/>
      <c r="J194" s="62">
        <f t="shared" si="9"/>
        <v>0</v>
      </c>
      <c r="K194" s="94">
        <f t="shared" si="10"/>
        <v>0</v>
      </c>
      <c r="L194" s="61">
        <f t="shared" si="11"/>
        <v>0</v>
      </c>
      <c r="M194" s="198"/>
      <c r="N194" s="1379"/>
      <c r="O194" s="1422"/>
      <c r="P194" s="1380"/>
    </row>
    <row r="195" spans="1:16" s="66" customFormat="1" ht="13">
      <c r="A195" s="186"/>
      <c r="B195" s="187"/>
      <c r="C195" s="189"/>
      <c r="D195" s="190"/>
      <c r="E195" s="190"/>
      <c r="F195" s="189"/>
      <c r="G195" s="191"/>
      <c r="H195" s="61">
        <f t="shared" si="8"/>
        <v>0</v>
      </c>
      <c r="I195" s="199"/>
      <c r="J195" s="62">
        <f t="shared" si="9"/>
        <v>0</v>
      </c>
      <c r="K195" s="94">
        <f t="shared" si="10"/>
        <v>0</v>
      </c>
      <c r="L195" s="61">
        <f t="shared" si="11"/>
        <v>0</v>
      </c>
      <c r="M195" s="198"/>
      <c r="N195" s="1379"/>
      <c r="O195" s="1422"/>
      <c r="P195" s="1380"/>
    </row>
    <row r="196" spans="1:16" s="66" customFormat="1" ht="13">
      <c r="A196" s="186"/>
      <c r="B196" s="187"/>
      <c r="C196" s="189"/>
      <c r="D196" s="190"/>
      <c r="E196" s="190"/>
      <c r="F196" s="189"/>
      <c r="G196" s="191"/>
      <c r="H196" s="61">
        <f t="shared" si="8"/>
        <v>0</v>
      </c>
      <c r="I196" s="199"/>
      <c r="J196" s="62">
        <f t="shared" si="9"/>
        <v>0</v>
      </c>
      <c r="K196" s="94">
        <f t="shared" si="10"/>
        <v>0</v>
      </c>
      <c r="L196" s="61">
        <f t="shared" si="11"/>
        <v>0</v>
      </c>
      <c r="M196" s="198"/>
      <c r="N196" s="1379"/>
      <c r="O196" s="1422"/>
      <c r="P196" s="1380"/>
    </row>
    <row r="197" spans="1:16" s="66" customFormat="1" ht="13">
      <c r="A197" s="186"/>
      <c r="B197" s="187"/>
      <c r="C197" s="189"/>
      <c r="D197" s="190"/>
      <c r="E197" s="190"/>
      <c r="F197" s="189"/>
      <c r="G197" s="191"/>
      <c r="H197" s="61">
        <f t="shared" si="8"/>
        <v>0</v>
      </c>
      <c r="I197" s="199"/>
      <c r="J197" s="62">
        <f t="shared" si="9"/>
        <v>0</v>
      </c>
      <c r="K197" s="94">
        <f t="shared" si="10"/>
        <v>0</v>
      </c>
      <c r="L197" s="61">
        <f t="shared" si="11"/>
        <v>0</v>
      </c>
      <c r="M197" s="198"/>
      <c r="N197" s="1379"/>
      <c r="O197" s="1422"/>
      <c r="P197" s="1380"/>
    </row>
    <row r="198" spans="1:16" s="66" customFormat="1" ht="13">
      <c r="A198" s="186"/>
      <c r="B198" s="187"/>
      <c r="C198" s="189"/>
      <c r="D198" s="190"/>
      <c r="E198" s="190"/>
      <c r="F198" s="189"/>
      <c r="G198" s="191"/>
      <c r="H198" s="61">
        <f t="shared" si="8"/>
        <v>0</v>
      </c>
      <c r="I198" s="199"/>
      <c r="J198" s="62">
        <f t="shared" si="9"/>
        <v>0</v>
      </c>
      <c r="K198" s="94">
        <f t="shared" si="10"/>
        <v>0</v>
      </c>
      <c r="L198" s="61">
        <f t="shared" si="11"/>
        <v>0</v>
      </c>
      <c r="M198" s="198"/>
      <c r="N198" s="1379"/>
      <c r="O198" s="1422"/>
      <c r="P198" s="1380"/>
    </row>
    <row r="199" spans="1:16" s="66" customFormat="1" ht="13">
      <c r="A199" s="186"/>
      <c r="B199" s="187"/>
      <c r="C199" s="189"/>
      <c r="D199" s="190"/>
      <c r="E199" s="190"/>
      <c r="F199" s="189"/>
      <c r="G199" s="191"/>
      <c r="H199" s="61">
        <f t="shared" si="8"/>
        <v>0</v>
      </c>
      <c r="I199" s="199"/>
      <c r="J199" s="62">
        <f t="shared" si="9"/>
        <v>0</v>
      </c>
      <c r="K199" s="94">
        <f t="shared" si="10"/>
        <v>0</v>
      </c>
      <c r="L199" s="61">
        <f t="shared" si="11"/>
        <v>0</v>
      </c>
      <c r="M199" s="198"/>
      <c r="N199" s="1379"/>
      <c r="O199" s="1422"/>
      <c r="P199" s="1380"/>
    </row>
    <row r="200" spans="1:16" s="66" customFormat="1" ht="13">
      <c r="A200" s="186"/>
      <c r="B200" s="187"/>
      <c r="C200" s="189"/>
      <c r="D200" s="190"/>
      <c r="E200" s="190"/>
      <c r="F200" s="189"/>
      <c r="G200" s="191"/>
      <c r="H200" s="61">
        <f t="shared" si="8"/>
        <v>0</v>
      </c>
      <c r="I200" s="199"/>
      <c r="J200" s="62">
        <f t="shared" si="9"/>
        <v>0</v>
      </c>
      <c r="K200" s="94">
        <f t="shared" si="10"/>
        <v>0</v>
      </c>
      <c r="L200" s="61">
        <f t="shared" si="11"/>
        <v>0</v>
      </c>
      <c r="M200" s="198"/>
      <c r="N200" s="1379"/>
      <c r="O200" s="1422"/>
      <c r="P200" s="1380"/>
    </row>
    <row r="201" spans="1:16" s="66" customFormat="1" ht="13">
      <c r="A201" s="186"/>
      <c r="B201" s="187"/>
      <c r="C201" s="189"/>
      <c r="D201" s="190"/>
      <c r="E201" s="190"/>
      <c r="F201" s="189"/>
      <c r="G201" s="191"/>
      <c r="H201" s="61">
        <f t="shared" si="8"/>
        <v>0</v>
      </c>
      <c r="I201" s="199"/>
      <c r="J201" s="62">
        <f t="shared" si="9"/>
        <v>0</v>
      </c>
      <c r="K201" s="94">
        <f t="shared" si="10"/>
        <v>0</v>
      </c>
      <c r="L201" s="61">
        <f t="shared" si="11"/>
        <v>0</v>
      </c>
      <c r="M201" s="198"/>
      <c r="N201" s="1379"/>
      <c r="O201" s="1422"/>
      <c r="P201" s="1380"/>
    </row>
    <row r="202" spans="1:16" s="66" customFormat="1" ht="13">
      <c r="A202" s="186"/>
      <c r="B202" s="187"/>
      <c r="C202" s="189"/>
      <c r="D202" s="190"/>
      <c r="E202" s="190"/>
      <c r="F202" s="189"/>
      <c r="G202" s="191"/>
      <c r="H202" s="61">
        <f t="shared" si="8"/>
        <v>0</v>
      </c>
      <c r="I202" s="199"/>
      <c r="J202" s="62">
        <f t="shared" si="9"/>
        <v>0</v>
      </c>
      <c r="K202" s="94">
        <f t="shared" si="10"/>
        <v>0</v>
      </c>
      <c r="L202" s="61">
        <f t="shared" si="11"/>
        <v>0</v>
      </c>
      <c r="M202" s="198"/>
      <c r="N202" s="1379"/>
      <c r="O202" s="1422"/>
      <c r="P202" s="1380"/>
    </row>
    <row r="203" spans="1:16" s="66" customFormat="1" ht="13">
      <c r="A203" s="186"/>
      <c r="B203" s="187"/>
      <c r="C203" s="189"/>
      <c r="D203" s="190"/>
      <c r="E203" s="190"/>
      <c r="F203" s="189"/>
      <c r="G203" s="191"/>
      <c r="H203" s="61">
        <f t="shared" si="8"/>
        <v>0</v>
      </c>
      <c r="I203" s="199"/>
      <c r="J203" s="62">
        <f t="shared" si="9"/>
        <v>0</v>
      </c>
      <c r="K203" s="94">
        <f t="shared" si="10"/>
        <v>0</v>
      </c>
      <c r="L203" s="61">
        <f t="shared" si="11"/>
        <v>0</v>
      </c>
      <c r="M203" s="198"/>
      <c r="N203" s="1379"/>
      <c r="O203" s="1422"/>
      <c r="P203" s="1380"/>
    </row>
    <row r="204" spans="1:16" s="66" customFormat="1" ht="13">
      <c r="A204" s="186"/>
      <c r="B204" s="187"/>
      <c r="C204" s="189"/>
      <c r="D204" s="190"/>
      <c r="E204" s="190"/>
      <c r="F204" s="189"/>
      <c r="G204" s="191"/>
      <c r="H204" s="61">
        <f t="shared" si="8"/>
        <v>0</v>
      </c>
      <c r="I204" s="199"/>
      <c r="J204" s="62">
        <f t="shared" si="9"/>
        <v>0</v>
      </c>
      <c r="K204" s="94">
        <f t="shared" si="10"/>
        <v>0</v>
      </c>
      <c r="L204" s="61">
        <f t="shared" si="11"/>
        <v>0</v>
      </c>
      <c r="M204" s="198"/>
      <c r="N204" s="1379"/>
      <c r="O204" s="1422"/>
      <c r="P204" s="1380"/>
    </row>
    <row r="205" spans="1:16" s="66" customFormat="1" ht="13">
      <c r="A205" s="186"/>
      <c r="B205" s="187"/>
      <c r="C205" s="189"/>
      <c r="D205" s="190"/>
      <c r="E205" s="190"/>
      <c r="F205" s="189"/>
      <c r="G205" s="191"/>
      <c r="H205" s="61">
        <f t="shared" si="8"/>
        <v>0</v>
      </c>
      <c r="I205" s="199"/>
      <c r="J205" s="62">
        <f t="shared" si="9"/>
        <v>0</v>
      </c>
      <c r="K205" s="94">
        <f t="shared" si="10"/>
        <v>0</v>
      </c>
      <c r="L205" s="61">
        <f t="shared" si="11"/>
        <v>0</v>
      </c>
      <c r="M205" s="198"/>
      <c r="N205" s="1379"/>
      <c r="O205" s="1422"/>
      <c r="P205" s="1380"/>
    </row>
    <row r="206" spans="1:16" s="66" customFormat="1" ht="13">
      <c r="A206" s="186"/>
      <c r="B206" s="187"/>
      <c r="C206" s="189"/>
      <c r="D206" s="190"/>
      <c r="E206" s="190"/>
      <c r="F206" s="189"/>
      <c r="G206" s="191"/>
      <c r="H206" s="61">
        <f t="shared" ref="H206:H269" si="12">IF(F206=0,0,(+G206)/F206)</f>
        <v>0</v>
      </c>
      <c r="I206" s="199"/>
      <c r="J206" s="62">
        <f t="shared" ref="J206:J269" si="13">H206 * I206</f>
        <v>0</v>
      </c>
      <c r="K206" s="94">
        <f t="shared" ref="K206:K269" si="14">I206 - F206</f>
        <v>0</v>
      </c>
      <c r="L206" s="61">
        <f t="shared" ref="L206:L269" si="15">J206-G206</f>
        <v>0</v>
      </c>
      <c r="M206" s="198"/>
      <c r="N206" s="1379"/>
      <c r="O206" s="1422"/>
      <c r="P206" s="1380"/>
    </row>
    <row r="207" spans="1:16" s="66" customFormat="1" ht="13">
      <c r="A207" s="186"/>
      <c r="B207" s="187"/>
      <c r="C207" s="189"/>
      <c r="D207" s="190"/>
      <c r="E207" s="190"/>
      <c r="F207" s="189"/>
      <c r="G207" s="191"/>
      <c r="H207" s="61">
        <f t="shared" si="12"/>
        <v>0</v>
      </c>
      <c r="I207" s="199"/>
      <c r="J207" s="62">
        <f t="shared" si="13"/>
        <v>0</v>
      </c>
      <c r="K207" s="94">
        <f t="shared" si="14"/>
        <v>0</v>
      </c>
      <c r="L207" s="61">
        <f t="shared" si="15"/>
        <v>0</v>
      </c>
      <c r="M207" s="198"/>
      <c r="N207" s="1379"/>
      <c r="O207" s="1422"/>
      <c r="P207" s="1380"/>
    </row>
    <row r="208" spans="1:16" s="66" customFormat="1" ht="13">
      <c r="A208" s="186"/>
      <c r="B208" s="187"/>
      <c r="C208" s="189"/>
      <c r="D208" s="190"/>
      <c r="E208" s="190"/>
      <c r="F208" s="189"/>
      <c r="G208" s="191"/>
      <c r="H208" s="61">
        <f t="shared" si="12"/>
        <v>0</v>
      </c>
      <c r="I208" s="199"/>
      <c r="J208" s="62">
        <f t="shared" si="13"/>
        <v>0</v>
      </c>
      <c r="K208" s="94">
        <f t="shared" si="14"/>
        <v>0</v>
      </c>
      <c r="L208" s="61">
        <f t="shared" si="15"/>
        <v>0</v>
      </c>
      <c r="M208" s="198"/>
      <c r="N208" s="1379"/>
      <c r="O208" s="1422"/>
      <c r="P208" s="1380"/>
    </row>
    <row r="209" spans="1:16" s="66" customFormat="1" ht="13">
      <c r="A209" s="186"/>
      <c r="B209" s="187"/>
      <c r="C209" s="189"/>
      <c r="D209" s="190"/>
      <c r="E209" s="190"/>
      <c r="F209" s="189"/>
      <c r="G209" s="191"/>
      <c r="H209" s="61">
        <f t="shared" si="12"/>
        <v>0</v>
      </c>
      <c r="I209" s="199"/>
      <c r="J209" s="62">
        <f t="shared" si="13"/>
        <v>0</v>
      </c>
      <c r="K209" s="94">
        <f t="shared" si="14"/>
        <v>0</v>
      </c>
      <c r="L209" s="61">
        <f t="shared" si="15"/>
        <v>0</v>
      </c>
      <c r="M209" s="198"/>
      <c r="N209" s="1379"/>
      <c r="O209" s="1422"/>
      <c r="P209" s="1380"/>
    </row>
    <row r="210" spans="1:16" s="66" customFormat="1" ht="13">
      <c r="A210" s="186"/>
      <c r="B210" s="187"/>
      <c r="C210" s="189"/>
      <c r="D210" s="190"/>
      <c r="E210" s="190"/>
      <c r="F210" s="189"/>
      <c r="G210" s="191"/>
      <c r="H210" s="61">
        <f t="shared" si="12"/>
        <v>0</v>
      </c>
      <c r="I210" s="199"/>
      <c r="J210" s="62">
        <f t="shared" si="13"/>
        <v>0</v>
      </c>
      <c r="K210" s="94">
        <f t="shared" si="14"/>
        <v>0</v>
      </c>
      <c r="L210" s="61">
        <f t="shared" si="15"/>
        <v>0</v>
      </c>
      <c r="M210" s="198"/>
      <c r="N210" s="1379"/>
      <c r="O210" s="1422"/>
      <c r="P210" s="1380"/>
    </row>
    <row r="211" spans="1:16" s="66" customFormat="1" ht="13">
      <c r="A211" s="186"/>
      <c r="B211" s="187"/>
      <c r="C211" s="189"/>
      <c r="D211" s="190"/>
      <c r="E211" s="190"/>
      <c r="F211" s="189"/>
      <c r="G211" s="191"/>
      <c r="H211" s="61">
        <f t="shared" si="12"/>
        <v>0</v>
      </c>
      <c r="I211" s="199"/>
      <c r="J211" s="62">
        <f t="shared" si="13"/>
        <v>0</v>
      </c>
      <c r="K211" s="94">
        <f t="shared" si="14"/>
        <v>0</v>
      </c>
      <c r="L211" s="61">
        <f t="shared" si="15"/>
        <v>0</v>
      </c>
      <c r="M211" s="198"/>
      <c r="N211" s="1379"/>
      <c r="O211" s="1422"/>
      <c r="P211" s="1380"/>
    </row>
    <row r="212" spans="1:16" s="66" customFormat="1" ht="13">
      <c r="A212" s="186"/>
      <c r="B212" s="187"/>
      <c r="C212" s="189"/>
      <c r="D212" s="190"/>
      <c r="E212" s="190"/>
      <c r="F212" s="189"/>
      <c r="G212" s="191"/>
      <c r="H212" s="61">
        <f t="shared" si="12"/>
        <v>0</v>
      </c>
      <c r="I212" s="199"/>
      <c r="J212" s="62">
        <f t="shared" si="13"/>
        <v>0</v>
      </c>
      <c r="K212" s="94">
        <f t="shared" si="14"/>
        <v>0</v>
      </c>
      <c r="L212" s="61">
        <f t="shared" si="15"/>
        <v>0</v>
      </c>
      <c r="M212" s="198"/>
      <c r="N212" s="1379"/>
      <c r="O212" s="1422"/>
      <c r="P212" s="1380"/>
    </row>
    <row r="213" spans="1:16" s="66" customFormat="1" ht="13">
      <c r="A213" s="186"/>
      <c r="B213" s="187"/>
      <c r="C213" s="189"/>
      <c r="D213" s="190"/>
      <c r="E213" s="190"/>
      <c r="F213" s="189"/>
      <c r="G213" s="191"/>
      <c r="H213" s="61">
        <f t="shared" si="12"/>
        <v>0</v>
      </c>
      <c r="I213" s="199"/>
      <c r="J213" s="62">
        <f t="shared" si="13"/>
        <v>0</v>
      </c>
      <c r="K213" s="94">
        <f t="shared" si="14"/>
        <v>0</v>
      </c>
      <c r="L213" s="61">
        <f t="shared" si="15"/>
        <v>0</v>
      </c>
      <c r="M213" s="198"/>
      <c r="N213" s="1379"/>
      <c r="O213" s="1422"/>
      <c r="P213" s="1380"/>
    </row>
    <row r="214" spans="1:16" s="66" customFormat="1" ht="13">
      <c r="A214" s="186"/>
      <c r="B214" s="187"/>
      <c r="C214" s="189"/>
      <c r="D214" s="190"/>
      <c r="E214" s="190"/>
      <c r="F214" s="189"/>
      <c r="G214" s="191"/>
      <c r="H214" s="61">
        <f t="shared" si="12"/>
        <v>0</v>
      </c>
      <c r="I214" s="199"/>
      <c r="J214" s="62">
        <f t="shared" si="13"/>
        <v>0</v>
      </c>
      <c r="K214" s="94">
        <f t="shared" si="14"/>
        <v>0</v>
      </c>
      <c r="L214" s="61">
        <f t="shared" si="15"/>
        <v>0</v>
      </c>
      <c r="M214" s="198"/>
      <c r="N214" s="1379"/>
      <c r="O214" s="1422"/>
      <c r="P214" s="1380"/>
    </row>
    <row r="215" spans="1:16" s="66" customFormat="1" ht="13">
      <c r="A215" s="186"/>
      <c r="B215" s="187"/>
      <c r="C215" s="189"/>
      <c r="D215" s="190"/>
      <c r="E215" s="190"/>
      <c r="F215" s="189"/>
      <c r="G215" s="191"/>
      <c r="H215" s="61">
        <f t="shared" si="12"/>
        <v>0</v>
      </c>
      <c r="I215" s="199"/>
      <c r="J215" s="62">
        <f t="shared" si="13"/>
        <v>0</v>
      </c>
      <c r="K215" s="94">
        <f t="shared" si="14"/>
        <v>0</v>
      </c>
      <c r="L215" s="61">
        <f t="shared" si="15"/>
        <v>0</v>
      </c>
      <c r="M215" s="198"/>
      <c r="N215" s="1379"/>
      <c r="O215" s="1422"/>
      <c r="P215" s="1380"/>
    </row>
    <row r="216" spans="1:16" s="66" customFormat="1" ht="13">
      <c r="A216" s="186"/>
      <c r="B216" s="187"/>
      <c r="C216" s="189"/>
      <c r="D216" s="190"/>
      <c r="E216" s="190"/>
      <c r="F216" s="189"/>
      <c r="G216" s="191"/>
      <c r="H216" s="61">
        <f t="shared" si="12"/>
        <v>0</v>
      </c>
      <c r="I216" s="199"/>
      <c r="J216" s="62">
        <f t="shared" si="13"/>
        <v>0</v>
      </c>
      <c r="K216" s="94">
        <f t="shared" si="14"/>
        <v>0</v>
      </c>
      <c r="L216" s="61">
        <f t="shared" si="15"/>
        <v>0</v>
      </c>
      <c r="M216" s="198"/>
      <c r="N216" s="1379"/>
      <c r="O216" s="1422"/>
      <c r="P216" s="1380"/>
    </row>
    <row r="217" spans="1:16" s="66" customFormat="1" ht="13">
      <c r="A217" s="186"/>
      <c r="B217" s="187"/>
      <c r="C217" s="189"/>
      <c r="D217" s="190"/>
      <c r="E217" s="190"/>
      <c r="F217" s="189"/>
      <c r="G217" s="191"/>
      <c r="H217" s="61">
        <f t="shared" si="12"/>
        <v>0</v>
      </c>
      <c r="I217" s="199"/>
      <c r="J217" s="62">
        <f t="shared" si="13"/>
        <v>0</v>
      </c>
      <c r="K217" s="94">
        <f t="shared" si="14"/>
        <v>0</v>
      </c>
      <c r="L217" s="61">
        <f t="shared" si="15"/>
        <v>0</v>
      </c>
      <c r="M217" s="198"/>
      <c r="N217" s="1379"/>
      <c r="O217" s="1422"/>
      <c r="P217" s="1380"/>
    </row>
    <row r="218" spans="1:16" s="66" customFormat="1" ht="13">
      <c r="A218" s="186"/>
      <c r="B218" s="187"/>
      <c r="C218" s="189"/>
      <c r="D218" s="190"/>
      <c r="E218" s="190"/>
      <c r="F218" s="189"/>
      <c r="G218" s="191"/>
      <c r="H218" s="61">
        <f t="shared" si="12"/>
        <v>0</v>
      </c>
      <c r="I218" s="199"/>
      <c r="J218" s="62">
        <f t="shared" si="13"/>
        <v>0</v>
      </c>
      <c r="K218" s="94">
        <f t="shared" si="14"/>
        <v>0</v>
      </c>
      <c r="L218" s="61">
        <f t="shared" si="15"/>
        <v>0</v>
      </c>
      <c r="M218" s="198"/>
      <c r="N218" s="1379"/>
      <c r="O218" s="1422"/>
      <c r="P218" s="1380"/>
    </row>
    <row r="219" spans="1:16" s="66" customFormat="1" ht="13">
      <c r="A219" s="186"/>
      <c r="B219" s="187"/>
      <c r="C219" s="189"/>
      <c r="D219" s="190"/>
      <c r="E219" s="190"/>
      <c r="F219" s="189"/>
      <c r="G219" s="191"/>
      <c r="H219" s="61">
        <f t="shared" si="12"/>
        <v>0</v>
      </c>
      <c r="I219" s="199"/>
      <c r="J219" s="62">
        <f t="shared" si="13"/>
        <v>0</v>
      </c>
      <c r="K219" s="94">
        <f t="shared" si="14"/>
        <v>0</v>
      </c>
      <c r="L219" s="61">
        <f t="shared" si="15"/>
        <v>0</v>
      </c>
      <c r="M219" s="198"/>
      <c r="N219" s="1379"/>
      <c r="O219" s="1422"/>
      <c r="P219" s="1380"/>
    </row>
    <row r="220" spans="1:16" s="66" customFormat="1" ht="13">
      <c r="A220" s="186"/>
      <c r="B220" s="187"/>
      <c r="C220" s="189"/>
      <c r="D220" s="190"/>
      <c r="E220" s="190"/>
      <c r="F220" s="189"/>
      <c r="G220" s="191"/>
      <c r="H220" s="61">
        <f t="shared" si="12"/>
        <v>0</v>
      </c>
      <c r="I220" s="199"/>
      <c r="J220" s="62">
        <f t="shared" si="13"/>
        <v>0</v>
      </c>
      <c r="K220" s="94">
        <f t="shared" si="14"/>
        <v>0</v>
      </c>
      <c r="L220" s="61">
        <f t="shared" si="15"/>
        <v>0</v>
      </c>
      <c r="M220" s="198"/>
      <c r="N220" s="1379"/>
      <c r="O220" s="1422"/>
      <c r="P220" s="1380"/>
    </row>
    <row r="221" spans="1:16" s="66" customFormat="1" ht="13">
      <c r="A221" s="186"/>
      <c r="B221" s="187"/>
      <c r="C221" s="189"/>
      <c r="D221" s="190"/>
      <c r="E221" s="190"/>
      <c r="F221" s="189"/>
      <c r="G221" s="191"/>
      <c r="H221" s="61">
        <f t="shared" si="12"/>
        <v>0</v>
      </c>
      <c r="I221" s="199"/>
      <c r="J221" s="62">
        <f t="shared" si="13"/>
        <v>0</v>
      </c>
      <c r="K221" s="94">
        <f t="shared" si="14"/>
        <v>0</v>
      </c>
      <c r="L221" s="61">
        <f t="shared" si="15"/>
        <v>0</v>
      </c>
      <c r="M221" s="198"/>
      <c r="N221" s="1379"/>
      <c r="O221" s="1422"/>
      <c r="P221" s="1380"/>
    </row>
    <row r="222" spans="1:16" s="66" customFormat="1" ht="13">
      <c r="A222" s="186"/>
      <c r="B222" s="187"/>
      <c r="C222" s="189"/>
      <c r="D222" s="190"/>
      <c r="E222" s="190"/>
      <c r="F222" s="189"/>
      <c r="G222" s="191"/>
      <c r="H222" s="61">
        <f t="shared" si="12"/>
        <v>0</v>
      </c>
      <c r="I222" s="199"/>
      <c r="J222" s="62">
        <f t="shared" si="13"/>
        <v>0</v>
      </c>
      <c r="K222" s="94">
        <f t="shared" si="14"/>
        <v>0</v>
      </c>
      <c r="L222" s="61">
        <f t="shared" si="15"/>
        <v>0</v>
      </c>
      <c r="M222" s="198"/>
      <c r="N222" s="1379"/>
      <c r="O222" s="1422"/>
      <c r="P222" s="1380"/>
    </row>
    <row r="223" spans="1:16" s="66" customFormat="1" ht="13">
      <c r="A223" s="186"/>
      <c r="B223" s="187"/>
      <c r="C223" s="189"/>
      <c r="D223" s="190"/>
      <c r="E223" s="190"/>
      <c r="F223" s="189"/>
      <c r="G223" s="191"/>
      <c r="H223" s="61">
        <f t="shared" si="12"/>
        <v>0</v>
      </c>
      <c r="I223" s="199"/>
      <c r="J223" s="62">
        <f t="shared" si="13"/>
        <v>0</v>
      </c>
      <c r="K223" s="94">
        <f t="shared" si="14"/>
        <v>0</v>
      </c>
      <c r="L223" s="61">
        <f t="shared" si="15"/>
        <v>0</v>
      </c>
      <c r="M223" s="198"/>
      <c r="N223" s="1379"/>
      <c r="O223" s="1422"/>
      <c r="P223" s="1380"/>
    </row>
    <row r="224" spans="1:16" s="66" customFormat="1" ht="13">
      <c r="A224" s="186"/>
      <c r="B224" s="187"/>
      <c r="C224" s="189"/>
      <c r="D224" s="190"/>
      <c r="E224" s="190"/>
      <c r="F224" s="189"/>
      <c r="G224" s="191"/>
      <c r="H224" s="61">
        <f t="shared" si="12"/>
        <v>0</v>
      </c>
      <c r="I224" s="199"/>
      <c r="J224" s="62">
        <f t="shared" si="13"/>
        <v>0</v>
      </c>
      <c r="K224" s="94">
        <f t="shared" si="14"/>
        <v>0</v>
      </c>
      <c r="L224" s="61">
        <f t="shared" si="15"/>
        <v>0</v>
      </c>
      <c r="M224" s="198"/>
      <c r="N224" s="1379"/>
      <c r="O224" s="1422"/>
      <c r="P224" s="1380"/>
    </row>
    <row r="225" spans="1:16" s="66" customFormat="1" ht="13">
      <c r="A225" s="186"/>
      <c r="B225" s="187"/>
      <c r="C225" s="189"/>
      <c r="D225" s="190"/>
      <c r="E225" s="190"/>
      <c r="F225" s="189"/>
      <c r="G225" s="191"/>
      <c r="H225" s="61">
        <f t="shared" si="12"/>
        <v>0</v>
      </c>
      <c r="I225" s="199"/>
      <c r="J225" s="62">
        <f t="shared" si="13"/>
        <v>0</v>
      </c>
      <c r="K225" s="94">
        <f t="shared" si="14"/>
        <v>0</v>
      </c>
      <c r="L225" s="61">
        <f t="shared" si="15"/>
        <v>0</v>
      </c>
      <c r="M225" s="198"/>
      <c r="N225" s="1379"/>
      <c r="O225" s="1422"/>
      <c r="P225" s="1380"/>
    </row>
    <row r="226" spans="1:16" s="66" customFormat="1" ht="13">
      <c r="A226" s="186"/>
      <c r="B226" s="187"/>
      <c r="C226" s="189"/>
      <c r="D226" s="190"/>
      <c r="E226" s="190"/>
      <c r="F226" s="189"/>
      <c r="G226" s="191"/>
      <c r="H226" s="61">
        <f t="shared" si="12"/>
        <v>0</v>
      </c>
      <c r="I226" s="199"/>
      <c r="J226" s="62">
        <f t="shared" si="13"/>
        <v>0</v>
      </c>
      <c r="K226" s="94">
        <f t="shared" si="14"/>
        <v>0</v>
      </c>
      <c r="L226" s="61">
        <f t="shared" si="15"/>
        <v>0</v>
      </c>
      <c r="M226" s="198"/>
      <c r="N226" s="1379"/>
      <c r="O226" s="1422"/>
      <c r="P226" s="1380"/>
    </row>
    <row r="227" spans="1:16" s="66" customFormat="1" ht="13">
      <c r="A227" s="186"/>
      <c r="B227" s="187"/>
      <c r="C227" s="189"/>
      <c r="D227" s="190"/>
      <c r="E227" s="190"/>
      <c r="F227" s="189"/>
      <c r="G227" s="191"/>
      <c r="H227" s="61">
        <f t="shared" si="12"/>
        <v>0</v>
      </c>
      <c r="I227" s="199"/>
      <c r="J227" s="62">
        <f t="shared" si="13"/>
        <v>0</v>
      </c>
      <c r="K227" s="94">
        <f t="shared" si="14"/>
        <v>0</v>
      </c>
      <c r="L227" s="61">
        <f t="shared" si="15"/>
        <v>0</v>
      </c>
      <c r="M227" s="198"/>
      <c r="N227" s="1379"/>
      <c r="O227" s="1422"/>
      <c r="P227" s="1380"/>
    </row>
    <row r="228" spans="1:16" s="66" customFormat="1" ht="13">
      <c r="A228" s="186"/>
      <c r="B228" s="187"/>
      <c r="C228" s="189"/>
      <c r="D228" s="190"/>
      <c r="E228" s="190"/>
      <c r="F228" s="189"/>
      <c r="G228" s="191"/>
      <c r="H228" s="61">
        <f t="shared" si="12"/>
        <v>0</v>
      </c>
      <c r="I228" s="199"/>
      <c r="J228" s="62">
        <f t="shared" si="13"/>
        <v>0</v>
      </c>
      <c r="K228" s="94">
        <f t="shared" si="14"/>
        <v>0</v>
      </c>
      <c r="L228" s="61">
        <f t="shared" si="15"/>
        <v>0</v>
      </c>
      <c r="M228" s="198"/>
      <c r="N228" s="1379"/>
      <c r="O228" s="1422"/>
      <c r="P228" s="1380"/>
    </row>
    <row r="229" spans="1:16" s="66" customFormat="1" ht="13">
      <c r="A229" s="186"/>
      <c r="B229" s="187"/>
      <c r="C229" s="189"/>
      <c r="D229" s="190"/>
      <c r="E229" s="190"/>
      <c r="F229" s="189"/>
      <c r="G229" s="191"/>
      <c r="H229" s="61">
        <f t="shared" si="12"/>
        <v>0</v>
      </c>
      <c r="I229" s="199"/>
      <c r="J229" s="62">
        <f t="shared" si="13"/>
        <v>0</v>
      </c>
      <c r="K229" s="94">
        <f t="shared" si="14"/>
        <v>0</v>
      </c>
      <c r="L229" s="61">
        <f t="shared" si="15"/>
        <v>0</v>
      </c>
      <c r="M229" s="198"/>
      <c r="N229" s="1379"/>
      <c r="O229" s="1422"/>
      <c r="P229" s="1380"/>
    </row>
    <row r="230" spans="1:16" s="66" customFormat="1" ht="13">
      <c r="A230" s="186"/>
      <c r="B230" s="187"/>
      <c r="C230" s="189"/>
      <c r="D230" s="190"/>
      <c r="E230" s="190"/>
      <c r="F230" s="189"/>
      <c r="G230" s="191"/>
      <c r="H230" s="61">
        <f t="shared" si="12"/>
        <v>0</v>
      </c>
      <c r="I230" s="199"/>
      <c r="J230" s="62">
        <f t="shared" si="13"/>
        <v>0</v>
      </c>
      <c r="K230" s="94">
        <f t="shared" si="14"/>
        <v>0</v>
      </c>
      <c r="L230" s="61">
        <f t="shared" si="15"/>
        <v>0</v>
      </c>
      <c r="M230" s="198"/>
      <c r="N230" s="1379"/>
      <c r="O230" s="1422"/>
      <c r="P230" s="1380"/>
    </row>
    <row r="231" spans="1:16" s="66" customFormat="1" ht="13">
      <c r="A231" s="186"/>
      <c r="B231" s="187"/>
      <c r="C231" s="189"/>
      <c r="D231" s="190"/>
      <c r="E231" s="190"/>
      <c r="F231" s="189"/>
      <c r="G231" s="191"/>
      <c r="H231" s="61">
        <f t="shared" si="12"/>
        <v>0</v>
      </c>
      <c r="I231" s="199"/>
      <c r="J231" s="62">
        <f t="shared" si="13"/>
        <v>0</v>
      </c>
      <c r="K231" s="94">
        <f t="shared" si="14"/>
        <v>0</v>
      </c>
      <c r="L231" s="61">
        <f t="shared" si="15"/>
        <v>0</v>
      </c>
      <c r="M231" s="198"/>
      <c r="N231" s="1379"/>
      <c r="O231" s="1422"/>
      <c r="P231" s="1380"/>
    </row>
    <row r="232" spans="1:16" s="66" customFormat="1" ht="13">
      <c r="A232" s="186"/>
      <c r="B232" s="187"/>
      <c r="C232" s="189"/>
      <c r="D232" s="190"/>
      <c r="E232" s="190"/>
      <c r="F232" s="189"/>
      <c r="G232" s="191"/>
      <c r="H232" s="61">
        <f t="shared" si="12"/>
        <v>0</v>
      </c>
      <c r="I232" s="199"/>
      <c r="J232" s="62">
        <f t="shared" si="13"/>
        <v>0</v>
      </c>
      <c r="K232" s="94">
        <f t="shared" si="14"/>
        <v>0</v>
      </c>
      <c r="L232" s="61">
        <f t="shared" si="15"/>
        <v>0</v>
      </c>
      <c r="M232" s="198"/>
      <c r="N232" s="1379"/>
      <c r="O232" s="1422"/>
      <c r="P232" s="1380"/>
    </row>
    <row r="233" spans="1:16" s="66" customFormat="1" ht="13">
      <c r="A233" s="186"/>
      <c r="B233" s="187"/>
      <c r="C233" s="189"/>
      <c r="D233" s="190"/>
      <c r="E233" s="190"/>
      <c r="F233" s="189"/>
      <c r="G233" s="191"/>
      <c r="H233" s="61">
        <f t="shared" si="12"/>
        <v>0</v>
      </c>
      <c r="I233" s="199"/>
      <c r="J233" s="62">
        <f t="shared" si="13"/>
        <v>0</v>
      </c>
      <c r="K233" s="94">
        <f t="shared" si="14"/>
        <v>0</v>
      </c>
      <c r="L233" s="61">
        <f t="shared" si="15"/>
        <v>0</v>
      </c>
      <c r="M233" s="198"/>
      <c r="N233" s="1379"/>
      <c r="O233" s="1422"/>
      <c r="P233" s="1380"/>
    </row>
    <row r="234" spans="1:16" s="66" customFormat="1" ht="13">
      <c r="A234" s="186"/>
      <c r="B234" s="187"/>
      <c r="C234" s="189"/>
      <c r="D234" s="190"/>
      <c r="E234" s="190"/>
      <c r="F234" s="189"/>
      <c r="G234" s="191"/>
      <c r="H234" s="61">
        <f t="shared" si="12"/>
        <v>0</v>
      </c>
      <c r="I234" s="199"/>
      <c r="J234" s="62">
        <f t="shared" si="13"/>
        <v>0</v>
      </c>
      <c r="K234" s="94">
        <f t="shared" si="14"/>
        <v>0</v>
      </c>
      <c r="L234" s="61">
        <f t="shared" si="15"/>
        <v>0</v>
      </c>
      <c r="M234" s="198"/>
      <c r="N234" s="1379"/>
      <c r="O234" s="1422"/>
      <c r="P234" s="1380"/>
    </row>
    <row r="235" spans="1:16" s="66" customFormat="1" ht="13">
      <c r="A235" s="186"/>
      <c r="B235" s="187"/>
      <c r="C235" s="189"/>
      <c r="D235" s="190"/>
      <c r="E235" s="190"/>
      <c r="F235" s="189"/>
      <c r="G235" s="191"/>
      <c r="H235" s="61">
        <f t="shared" si="12"/>
        <v>0</v>
      </c>
      <c r="I235" s="199"/>
      <c r="J235" s="62">
        <f t="shared" si="13"/>
        <v>0</v>
      </c>
      <c r="K235" s="94">
        <f t="shared" si="14"/>
        <v>0</v>
      </c>
      <c r="L235" s="61">
        <f t="shared" si="15"/>
        <v>0</v>
      </c>
      <c r="M235" s="198"/>
      <c r="N235" s="1379"/>
      <c r="O235" s="1422"/>
      <c r="P235" s="1380"/>
    </row>
    <row r="236" spans="1:16" s="66" customFormat="1" ht="13">
      <c r="A236" s="186"/>
      <c r="B236" s="187"/>
      <c r="C236" s="189"/>
      <c r="D236" s="190"/>
      <c r="E236" s="190"/>
      <c r="F236" s="189"/>
      <c r="G236" s="191"/>
      <c r="H236" s="61">
        <f t="shared" si="12"/>
        <v>0</v>
      </c>
      <c r="I236" s="199"/>
      <c r="J236" s="62">
        <f t="shared" si="13"/>
        <v>0</v>
      </c>
      <c r="K236" s="94">
        <f t="shared" si="14"/>
        <v>0</v>
      </c>
      <c r="L236" s="61">
        <f t="shared" si="15"/>
        <v>0</v>
      </c>
      <c r="M236" s="198"/>
      <c r="N236" s="1379"/>
      <c r="O236" s="1422"/>
      <c r="P236" s="1380"/>
    </row>
    <row r="237" spans="1:16" s="66" customFormat="1" ht="13">
      <c r="A237" s="186"/>
      <c r="B237" s="187"/>
      <c r="C237" s="189"/>
      <c r="D237" s="190"/>
      <c r="E237" s="190"/>
      <c r="F237" s="189"/>
      <c r="G237" s="191"/>
      <c r="H237" s="61">
        <f t="shared" si="12"/>
        <v>0</v>
      </c>
      <c r="I237" s="199"/>
      <c r="J237" s="62">
        <f t="shared" si="13"/>
        <v>0</v>
      </c>
      <c r="K237" s="94">
        <f t="shared" si="14"/>
        <v>0</v>
      </c>
      <c r="L237" s="61">
        <f t="shared" si="15"/>
        <v>0</v>
      </c>
      <c r="M237" s="198"/>
      <c r="N237" s="1379"/>
      <c r="O237" s="1422"/>
      <c r="P237" s="1380"/>
    </row>
    <row r="238" spans="1:16" s="66" customFormat="1" ht="13">
      <c r="A238" s="186"/>
      <c r="B238" s="187"/>
      <c r="C238" s="189"/>
      <c r="D238" s="190"/>
      <c r="E238" s="190"/>
      <c r="F238" s="189"/>
      <c r="G238" s="191"/>
      <c r="H238" s="61">
        <f t="shared" si="12"/>
        <v>0</v>
      </c>
      <c r="I238" s="199"/>
      <c r="J238" s="62">
        <f t="shared" si="13"/>
        <v>0</v>
      </c>
      <c r="K238" s="94">
        <f t="shared" si="14"/>
        <v>0</v>
      </c>
      <c r="L238" s="61">
        <f t="shared" si="15"/>
        <v>0</v>
      </c>
      <c r="M238" s="198"/>
      <c r="N238" s="1379"/>
      <c r="O238" s="1422"/>
      <c r="P238" s="1380"/>
    </row>
    <row r="239" spans="1:16" s="66" customFormat="1" ht="13">
      <c r="A239" s="186"/>
      <c r="B239" s="187"/>
      <c r="C239" s="189"/>
      <c r="D239" s="190"/>
      <c r="E239" s="190"/>
      <c r="F239" s="189"/>
      <c r="G239" s="191"/>
      <c r="H239" s="61">
        <f t="shared" si="12"/>
        <v>0</v>
      </c>
      <c r="I239" s="199"/>
      <c r="J239" s="62">
        <f t="shared" si="13"/>
        <v>0</v>
      </c>
      <c r="K239" s="94">
        <f t="shared" si="14"/>
        <v>0</v>
      </c>
      <c r="L239" s="61">
        <f t="shared" si="15"/>
        <v>0</v>
      </c>
      <c r="M239" s="198"/>
      <c r="N239" s="1379"/>
      <c r="O239" s="1422"/>
      <c r="P239" s="1380"/>
    </row>
    <row r="240" spans="1:16" s="66" customFormat="1" ht="13">
      <c r="A240" s="186"/>
      <c r="B240" s="187"/>
      <c r="C240" s="189"/>
      <c r="D240" s="190"/>
      <c r="E240" s="190"/>
      <c r="F240" s="189"/>
      <c r="G240" s="191"/>
      <c r="H240" s="61">
        <f t="shared" si="12"/>
        <v>0</v>
      </c>
      <c r="I240" s="199"/>
      <c r="J240" s="62">
        <f t="shared" si="13"/>
        <v>0</v>
      </c>
      <c r="K240" s="94">
        <f t="shared" si="14"/>
        <v>0</v>
      </c>
      <c r="L240" s="61">
        <f t="shared" si="15"/>
        <v>0</v>
      </c>
      <c r="M240" s="198"/>
      <c r="N240" s="1379"/>
      <c r="O240" s="1422"/>
      <c r="P240" s="1380"/>
    </row>
    <row r="241" spans="1:16" s="66" customFormat="1" ht="13">
      <c r="A241" s="186"/>
      <c r="B241" s="187"/>
      <c r="C241" s="189"/>
      <c r="D241" s="190"/>
      <c r="E241" s="190"/>
      <c r="F241" s="189"/>
      <c r="G241" s="191"/>
      <c r="H241" s="61">
        <f t="shared" si="12"/>
        <v>0</v>
      </c>
      <c r="I241" s="199"/>
      <c r="J241" s="62">
        <f t="shared" si="13"/>
        <v>0</v>
      </c>
      <c r="K241" s="94">
        <f t="shared" si="14"/>
        <v>0</v>
      </c>
      <c r="L241" s="61">
        <f t="shared" si="15"/>
        <v>0</v>
      </c>
      <c r="M241" s="198"/>
      <c r="N241" s="1379"/>
      <c r="O241" s="1422"/>
      <c r="P241" s="1380"/>
    </row>
    <row r="242" spans="1:16" s="66" customFormat="1" ht="13">
      <c r="A242" s="186"/>
      <c r="B242" s="187"/>
      <c r="C242" s="189"/>
      <c r="D242" s="190"/>
      <c r="E242" s="190"/>
      <c r="F242" s="189"/>
      <c r="G242" s="191"/>
      <c r="H242" s="61">
        <f t="shared" si="12"/>
        <v>0</v>
      </c>
      <c r="I242" s="199"/>
      <c r="J242" s="62">
        <f t="shared" si="13"/>
        <v>0</v>
      </c>
      <c r="K242" s="94">
        <f t="shared" si="14"/>
        <v>0</v>
      </c>
      <c r="L242" s="61">
        <f t="shared" si="15"/>
        <v>0</v>
      </c>
      <c r="M242" s="198"/>
      <c r="N242" s="1379"/>
      <c r="O242" s="1422"/>
      <c r="P242" s="1380"/>
    </row>
    <row r="243" spans="1:16" s="66" customFormat="1" ht="13">
      <c r="A243" s="186"/>
      <c r="B243" s="187"/>
      <c r="C243" s="189"/>
      <c r="D243" s="190"/>
      <c r="E243" s="190"/>
      <c r="F243" s="189"/>
      <c r="G243" s="191"/>
      <c r="H243" s="61">
        <f t="shared" si="12"/>
        <v>0</v>
      </c>
      <c r="I243" s="199"/>
      <c r="J243" s="62">
        <f t="shared" si="13"/>
        <v>0</v>
      </c>
      <c r="K243" s="94">
        <f t="shared" si="14"/>
        <v>0</v>
      </c>
      <c r="L243" s="61">
        <f t="shared" si="15"/>
        <v>0</v>
      </c>
      <c r="M243" s="198"/>
      <c r="N243" s="1379"/>
      <c r="O243" s="1422"/>
      <c r="P243" s="1380"/>
    </row>
    <row r="244" spans="1:16" s="66" customFormat="1" ht="13">
      <c r="A244" s="186"/>
      <c r="B244" s="187"/>
      <c r="C244" s="189"/>
      <c r="D244" s="190"/>
      <c r="E244" s="190"/>
      <c r="F244" s="189"/>
      <c r="G244" s="191"/>
      <c r="H244" s="61">
        <f t="shared" si="12"/>
        <v>0</v>
      </c>
      <c r="I244" s="199"/>
      <c r="J244" s="62">
        <f t="shared" si="13"/>
        <v>0</v>
      </c>
      <c r="K244" s="94">
        <f t="shared" si="14"/>
        <v>0</v>
      </c>
      <c r="L244" s="61">
        <f t="shared" si="15"/>
        <v>0</v>
      </c>
      <c r="M244" s="198"/>
      <c r="N244" s="1379"/>
      <c r="O244" s="1422"/>
      <c r="P244" s="1380"/>
    </row>
    <row r="245" spans="1:16" s="66" customFormat="1" ht="13">
      <c r="A245" s="186"/>
      <c r="B245" s="187"/>
      <c r="C245" s="189"/>
      <c r="D245" s="190"/>
      <c r="E245" s="190"/>
      <c r="F245" s="189"/>
      <c r="G245" s="191"/>
      <c r="H245" s="61">
        <f t="shared" si="12"/>
        <v>0</v>
      </c>
      <c r="I245" s="199"/>
      <c r="J245" s="62">
        <f t="shared" si="13"/>
        <v>0</v>
      </c>
      <c r="K245" s="94">
        <f t="shared" si="14"/>
        <v>0</v>
      </c>
      <c r="L245" s="61">
        <f t="shared" si="15"/>
        <v>0</v>
      </c>
      <c r="M245" s="198"/>
      <c r="N245" s="1379"/>
      <c r="O245" s="1422"/>
      <c r="P245" s="1380"/>
    </row>
    <row r="246" spans="1:16" s="66" customFormat="1" ht="13">
      <c r="A246" s="186"/>
      <c r="B246" s="187"/>
      <c r="C246" s="189"/>
      <c r="D246" s="190"/>
      <c r="E246" s="190"/>
      <c r="F246" s="189"/>
      <c r="G246" s="191"/>
      <c r="H246" s="61">
        <f t="shared" si="12"/>
        <v>0</v>
      </c>
      <c r="I246" s="199"/>
      <c r="J246" s="62">
        <f t="shared" si="13"/>
        <v>0</v>
      </c>
      <c r="K246" s="94">
        <f t="shared" si="14"/>
        <v>0</v>
      </c>
      <c r="L246" s="61">
        <f t="shared" si="15"/>
        <v>0</v>
      </c>
      <c r="M246" s="198"/>
      <c r="N246" s="1379"/>
      <c r="O246" s="1422"/>
      <c r="P246" s="1380"/>
    </row>
    <row r="247" spans="1:16" s="66" customFormat="1" ht="13">
      <c r="A247" s="186"/>
      <c r="B247" s="187"/>
      <c r="C247" s="189"/>
      <c r="D247" s="190"/>
      <c r="E247" s="190"/>
      <c r="F247" s="189"/>
      <c r="G247" s="191"/>
      <c r="H247" s="61">
        <f t="shared" si="12"/>
        <v>0</v>
      </c>
      <c r="I247" s="199"/>
      <c r="J247" s="62">
        <f t="shared" si="13"/>
        <v>0</v>
      </c>
      <c r="K247" s="94">
        <f t="shared" si="14"/>
        <v>0</v>
      </c>
      <c r="L247" s="61">
        <f t="shared" si="15"/>
        <v>0</v>
      </c>
      <c r="M247" s="198"/>
      <c r="N247" s="1379"/>
      <c r="O247" s="1422"/>
      <c r="P247" s="1380"/>
    </row>
    <row r="248" spans="1:16" s="66" customFormat="1" ht="13">
      <c r="A248" s="186"/>
      <c r="B248" s="187"/>
      <c r="C248" s="189"/>
      <c r="D248" s="190"/>
      <c r="E248" s="190"/>
      <c r="F248" s="189"/>
      <c r="G248" s="191"/>
      <c r="H248" s="61">
        <f t="shared" si="12"/>
        <v>0</v>
      </c>
      <c r="I248" s="199"/>
      <c r="J248" s="62">
        <f t="shared" si="13"/>
        <v>0</v>
      </c>
      <c r="K248" s="94">
        <f t="shared" si="14"/>
        <v>0</v>
      </c>
      <c r="L248" s="61">
        <f t="shared" si="15"/>
        <v>0</v>
      </c>
      <c r="M248" s="198"/>
      <c r="N248" s="1379"/>
      <c r="O248" s="1422"/>
      <c r="P248" s="1380"/>
    </row>
    <row r="249" spans="1:16" s="66" customFormat="1" ht="13">
      <c r="A249" s="186"/>
      <c r="B249" s="187"/>
      <c r="C249" s="189"/>
      <c r="D249" s="190"/>
      <c r="E249" s="190"/>
      <c r="F249" s="189"/>
      <c r="G249" s="191"/>
      <c r="H249" s="61">
        <f t="shared" si="12"/>
        <v>0</v>
      </c>
      <c r="I249" s="199"/>
      <c r="J249" s="62">
        <f t="shared" si="13"/>
        <v>0</v>
      </c>
      <c r="K249" s="94">
        <f t="shared" si="14"/>
        <v>0</v>
      </c>
      <c r="L249" s="61">
        <f t="shared" si="15"/>
        <v>0</v>
      </c>
      <c r="M249" s="198"/>
      <c r="N249" s="1379"/>
      <c r="O249" s="1422"/>
      <c r="P249" s="1380"/>
    </row>
    <row r="250" spans="1:16" s="66" customFormat="1" ht="13">
      <c r="A250" s="186"/>
      <c r="B250" s="187"/>
      <c r="C250" s="189"/>
      <c r="D250" s="190"/>
      <c r="E250" s="190"/>
      <c r="F250" s="189"/>
      <c r="G250" s="191"/>
      <c r="H250" s="61">
        <f t="shared" si="12"/>
        <v>0</v>
      </c>
      <c r="I250" s="199"/>
      <c r="J250" s="62">
        <f t="shared" si="13"/>
        <v>0</v>
      </c>
      <c r="K250" s="94">
        <f t="shared" si="14"/>
        <v>0</v>
      </c>
      <c r="L250" s="61">
        <f t="shared" si="15"/>
        <v>0</v>
      </c>
      <c r="M250" s="198"/>
      <c r="N250" s="1379"/>
      <c r="O250" s="1422"/>
      <c r="P250" s="1380"/>
    </row>
    <row r="251" spans="1:16" s="66" customFormat="1" ht="13">
      <c r="A251" s="186"/>
      <c r="B251" s="187"/>
      <c r="C251" s="189"/>
      <c r="D251" s="190"/>
      <c r="E251" s="190"/>
      <c r="F251" s="189"/>
      <c r="G251" s="191"/>
      <c r="H251" s="61">
        <f t="shared" si="12"/>
        <v>0</v>
      </c>
      <c r="I251" s="199"/>
      <c r="J251" s="62">
        <f t="shared" si="13"/>
        <v>0</v>
      </c>
      <c r="K251" s="94">
        <f t="shared" si="14"/>
        <v>0</v>
      </c>
      <c r="L251" s="61">
        <f t="shared" si="15"/>
        <v>0</v>
      </c>
      <c r="M251" s="198"/>
      <c r="N251" s="1379"/>
      <c r="O251" s="1422"/>
      <c r="P251" s="1380"/>
    </row>
    <row r="252" spans="1:16" s="66" customFormat="1" ht="13">
      <c r="A252" s="186"/>
      <c r="B252" s="187"/>
      <c r="C252" s="189"/>
      <c r="D252" s="190"/>
      <c r="E252" s="190"/>
      <c r="F252" s="189"/>
      <c r="G252" s="191"/>
      <c r="H252" s="61">
        <f t="shared" si="12"/>
        <v>0</v>
      </c>
      <c r="I252" s="199"/>
      <c r="J252" s="62">
        <f t="shared" si="13"/>
        <v>0</v>
      </c>
      <c r="K252" s="94">
        <f t="shared" si="14"/>
        <v>0</v>
      </c>
      <c r="L252" s="61">
        <f t="shared" si="15"/>
        <v>0</v>
      </c>
      <c r="M252" s="198"/>
      <c r="N252" s="1379"/>
      <c r="O252" s="1422"/>
      <c r="P252" s="1380"/>
    </row>
    <row r="253" spans="1:16" s="66" customFormat="1" ht="13">
      <c r="A253" s="186"/>
      <c r="B253" s="187"/>
      <c r="C253" s="189"/>
      <c r="D253" s="190"/>
      <c r="E253" s="190"/>
      <c r="F253" s="189"/>
      <c r="G253" s="191"/>
      <c r="H253" s="61">
        <f t="shared" si="12"/>
        <v>0</v>
      </c>
      <c r="I253" s="199"/>
      <c r="J253" s="62">
        <f t="shared" si="13"/>
        <v>0</v>
      </c>
      <c r="K253" s="94">
        <f t="shared" si="14"/>
        <v>0</v>
      </c>
      <c r="L253" s="61">
        <f t="shared" si="15"/>
        <v>0</v>
      </c>
      <c r="M253" s="198"/>
      <c r="N253" s="1379"/>
      <c r="O253" s="1422"/>
      <c r="P253" s="1380"/>
    </row>
    <row r="254" spans="1:16" s="66" customFormat="1" ht="13">
      <c r="A254" s="186"/>
      <c r="B254" s="187"/>
      <c r="C254" s="189"/>
      <c r="D254" s="190"/>
      <c r="E254" s="190"/>
      <c r="F254" s="189"/>
      <c r="G254" s="191"/>
      <c r="H254" s="61">
        <f t="shared" si="12"/>
        <v>0</v>
      </c>
      <c r="I254" s="199"/>
      <c r="J254" s="62">
        <f t="shared" si="13"/>
        <v>0</v>
      </c>
      <c r="K254" s="94">
        <f t="shared" si="14"/>
        <v>0</v>
      </c>
      <c r="L254" s="61">
        <f t="shared" si="15"/>
        <v>0</v>
      </c>
      <c r="M254" s="198"/>
      <c r="N254" s="1379"/>
      <c r="O254" s="1422"/>
      <c r="P254" s="1380"/>
    </row>
    <row r="255" spans="1:16" s="66" customFormat="1" ht="13">
      <c r="A255" s="186"/>
      <c r="B255" s="187"/>
      <c r="C255" s="189"/>
      <c r="D255" s="190"/>
      <c r="E255" s="190"/>
      <c r="F255" s="189"/>
      <c r="G255" s="191"/>
      <c r="H255" s="61">
        <f t="shared" si="12"/>
        <v>0</v>
      </c>
      <c r="I255" s="199"/>
      <c r="J255" s="62">
        <f t="shared" si="13"/>
        <v>0</v>
      </c>
      <c r="K255" s="94">
        <f t="shared" si="14"/>
        <v>0</v>
      </c>
      <c r="L255" s="61">
        <f t="shared" si="15"/>
        <v>0</v>
      </c>
      <c r="M255" s="198"/>
      <c r="N255" s="1379"/>
      <c r="O255" s="1422"/>
      <c r="P255" s="1380"/>
    </row>
    <row r="256" spans="1:16" s="66" customFormat="1" ht="13">
      <c r="A256" s="186"/>
      <c r="B256" s="187"/>
      <c r="C256" s="189"/>
      <c r="D256" s="190"/>
      <c r="E256" s="190"/>
      <c r="F256" s="189"/>
      <c r="G256" s="191"/>
      <c r="H256" s="61">
        <f t="shared" si="12"/>
        <v>0</v>
      </c>
      <c r="I256" s="199"/>
      <c r="J256" s="62">
        <f t="shared" si="13"/>
        <v>0</v>
      </c>
      <c r="K256" s="94">
        <f t="shared" si="14"/>
        <v>0</v>
      </c>
      <c r="L256" s="61">
        <f t="shared" si="15"/>
        <v>0</v>
      </c>
      <c r="M256" s="198"/>
      <c r="N256" s="1379"/>
      <c r="O256" s="1422"/>
      <c r="P256" s="1380"/>
    </row>
    <row r="257" spans="1:16" s="66" customFormat="1" ht="13">
      <c r="A257" s="186"/>
      <c r="B257" s="187"/>
      <c r="C257" s="189"/>
      <c r="D257" s="190"/>
      <c r="E257" s="190"/>
      <c r="F257" s="189"/>
      <c r="G257" s="191"/>
      <c r="H257" s="61">
        <f t="shared" si="12"/>
        <v>0</v>
      </c>
      <c r="I257" s="199"/>
      <c r="J257" s="62">
        <f t="shared" si="13"/>
        <v>0</v>
      </c>
      <c r="K257" s="94">
        <f t="shared" si="14"/>
        <v>0</v>
      </c>
      <c r="L257" s="61">
        <f t="shared" si="15"/>
        <v>0</v>
      </c>
      <c r="M257" s="198"/>
      <c r="N257" s="1379"/>
      <c r="O257" s="1422"/>
      <c r="P257" s="1380"/>
    </row>
    <row r="258" spans="1:16" s="66" customFormat="1" ht="13">
      <c r="A258" s="186"/>
      <c r="B258" s="187"/>
      <c r="C258" s="189"/>
      <c r="D258" s="190"/>
      <c r="E258" s="190"/>
      <c r="F258" s="189"/>
      <c r="G258" s="191"/>
      <c r="H258" s="61">
        <f t="shared" si="12"/>
        <v>0</v>
      </c>
      <c r="I258" s="199"/>
      <c r="J258" s="62">
        <f t="shared" si="13"/>
        <v>0</v>
      </c>
      <c r="K258" s="94">
        <f t="shared" si="14"/>
        <v>0</v>
      </c>
      <c r="L258" s="61">
        <f t="shared" si="15"/>
        <v>0</v>
      </c>
      <c r="M258" s="198"/>
      <c r="N258" s="1379"/>
      <c r="O258" s="1422"/>
      <c r="P258" s="1380"/>
    </row>
    <row r="259" spans="1:16" s="66" customFormat="1" ht="13">
      <c r="A259" s="186"/>
      <c r="B259" s="187"/>
      <c r="C259" s="189"/>
      <c r="D259" s="190"/>
      <c r="E259" s="190"/>
      <c r="F259" s="189"/>
      <c r="G259" s="191"/>
      <c r="H259" s="61">
        <f t="shared" si="12"/>
        <v>0</v>
      </c>
      <c r="I259" s="199"/>
      <c r="J259" s="62">
        <f t="shared" si="13"/>
        <v>0</v>
      </c>
      <c r="K259" s="94">
        <f t="shared" si="14"/>
        <v>0</v>
      </c>
      <c r="L259" s="61">
        <f t="shared" si="15"/>
        <v>0</v>
      </c>
      <c r="M259" s="198"/>
      <c r="N259" s="1379"/>
      <c r="O259" s="1422"/>
      <c r="P259" s="1380"/>
    </row>
    <row r="260" spans="1:16" s="66" customFormat="1" ht="13">
      <c r="A260" s="186"/>
      <c r="B260" s="187"/>
      <c r="C260" s="189"/>
      <c r="D260" s="190"/>
      <c r="E260" s="190"/>
      <c r="F260" s="189"/>
      <c r="G260" s="191"/>
      <c r="H260" s="61">
        <f t="shared" si="12"/>
        <v>0</v>
      </c>
      <c r="I260" s="199"/>
      <c r="J260" s="62">
        <f t="shared" si="13"/>
        <v>0</v>
      </c>
      <c r="K260" s="94">
        <f t="shared" si="14"/>
        <v>0</v>
      </c>
      <c r="L260" s="61">
        <f t="shared" si="15"/>
        <v>0</v>
      </c>
      <c r="M260" s="198"/>
      <c r="N260" s="1379"/>
      <c r="O260" s="1422"/>
      <c r="P260" s="1380"/>
    </row>
    <row r="261" spans="1:16" s="66" customFormat="1" ht="13">
      <c r="A261" s="186"/>
      <c r="B261" s="187"/>
      <c r="C261" s="189"/>
      <c r="D261" s="190"/>
      <c r="E261" s="190"/>
      <c r="F261" s="189"/>
      <c r="G261" s="191"/>
      <c r="H261" s="61">
        <f t="shared" si="12"/>
        <v>0</v>
      </c>
      <c r="I261" s="199"/>
      <c r="J261" s="62">
        <f t="shared" si="13"/>
        <v>0</v>
      </c>
      <c r="K261" s="94">
        <f t="shared" si="14"/>
        <v>0</v>
      </c>
      <c r="L261" s="61">
        <f t="shared" si="15"/>
        <v>0</v>
      </c>
      <c r="M261" s="198"/>
      <c r="N261" s="1379"/>
      <c r="O261" s="1422"/>
      <c r="P261" s="1380"/>
    </row>
    <row r="262" spans="1:16" s="66" customFormat="1" ht="13">
      <c r="A262" s="186"/>
      <c r="B262" s="187"/>
      <c r="C262" s="189"/>
      <c r="D262" s="190"/>
      <c r="E262" s="190"/>
      <c r="F262" s="189"/>
      <c r="G262" s="191"/>
      <c r="H262" s="61">
        <f t="shared" si="12"/>
        <v>0</v>
      </c>
      <c r="I262" s="199"/>
      <c r="J262" s="62">
        <f t="shared" si="13"/>
        <v>0</v>
      </c>
      <c r="K262" s="94">
        <f t="shared" si="14"/>
        <v>0</v>
      </c>
      <c r="L262" s="61">
        <f t="shared" si="15"/>
        <v>0</v>
      </c>
      <c r="M262" s="198"/>
      <c r="N262" s="1379"/>
      <c r="O262" s="1422"/>
      <c r="P262" s="1380"/>
    </row>
    <row r="263" spans="1:16" s="66" customFormat="1" ht="13">
      <c r="A263" s="186"/>
      <c r="B263" s="187"/>
      <c r="C263" s="189"/>
      <c r="D263" s="190"/>
      <c r="E263" s="190"/>
      <c r="F263" s="189"/>
      <c r="G263" s="191"/>
      <c r="H263" s="61">
        <f t="shared" si="12"/>
        <v>0</v>
      </c>
      <c r="I263" s="199"/>
      <c r="J263" s="62">
        <f t="shared" si="13"/>
        <v>0</v>
      </c>
      <c r="K263" s="94">
        <f t="shared" si="14"/>
        <v>0</v>
      </c>
      <c r="L263" s="61">
        <f t="shared" si="15"/>
        <v>0</v>
      </c>
      <c r="M263" s="198"/>
      <c r="N263" s="1379"/>
      <c r="O263" s="1422"/>
      <c r="P263" s="1380"/>
    </row>
    <row r="264" spans="1:16" s="66" customFormat="1" ht="13">
      <c r="A264" s="186"/>
      <c r="B264" s="187"/>
      <c r="C264" s="189"/>
      <c r="D264" s="190"/>
      <c r="E264" s="190"/>
      <c r="F264" s="189"/>
      <c r="G264" s="191"/>
      <c r="H264" s="61">
        <f t="shared" si="12"/>
        <v>0</v>
      </c>
      <c r="I264" s="199"/>
      <c r="J264" s="62">
        <f t="shared" si="13"/>
        <v>0</v>
      </c>
      <c r="K264" s="94">
        <f t="shared" si="14"/>
        <v>0</v>
      </c>
      <c r="L264" s="61">
        <f t="shared" si="15"/>
        <v>0</v>
      </c>
      <c r="M264" s="198"/>
      <c r="N264" s="1379"/>
      <c r="O264" s="1422"/>
      <c r="P264" s="1380"/>
    </row>
    <row r="265" spans="1:16" s="66" customFormat="1" ht="13">
      <c r="A265" s="186"/>
      <c r="B265" s="187"/>
      <c r="C265" s="189"/>
      <c r="D265" s="190"/>
      <c r="E265" s="190"/>
      <c r="F265" s="189"/>
      <c r="G265" s="191"/>
      <c r="H265" s="61">
        <f t="shared" si="12"/>
        <v>0</v>
      </c>
      <c r="I265" s="199"/>
      <c r="J265" s="62">
        <f t="shared" si="13"/>
        <v>0</v>
      </c>
      <c r="K265" s="94">
        <f t="shared" si="14"/>
        <v>0</v>
      </c>
      <c r="L265" s="61">
        <f t="shared" si="15"/>
        <v>0</v>
      </c>
      <c r="M265" s="198"/>
      <c r="N265" s="1379"/>
      <c r="O265" s="1422"/>
      <c r="P265" s="1380"/>
    </row>
    <row r="266" spans="1:16" s="66" customFormat="1" ht="13">
      <c r="A266" s="186"/>
      <c r="B266" s="187"/>
      <c r="C266" s="189"/>
      <c r="D266" s="190"/>
      <c r="E266" s="190"/>
      <c r="F266" s="189"/>
      <c r="G266" s="191"/>
      <c r="H266" s="61">
        <f t="shared" si="12"/>
        <v>0</v>
      </c>
      <c r="I266" s="199"/>
      <c r="J266" s="62">
        <f t="shared" si="13"/>
        <v>0</v>
      </c>
      <c r="K266" s="94">
        <f t="shared" si="14"/>
        <v>0</v>
      </c>
      <c r="L266" s="61">
        <f t="shared" si="15"/>
        <v>0</v>
      </c>
      <c r="M266" s="198"/>
      <c r="N266" s="1379"/>
      <c r="O266" s="1422"/>
      <c r="P266" s="1380"/>
    </row>
    <row r="267" spans="1:16" s="66" customFormat="1" ht="13">
      <c r="A267" s="186"/>
      <c r="B267" s="187"/>
      <c r="C267" s="189"/>
      <c r="D267" s="190"/>
      <c r="E267" s="190"/>
      <c r="F267" s="189"/>
      <c r="G267" s="191"/>
      <c r="H267" s="61">
        <f t="shared" si="12"/>
        <v>0</v>
      </c>
      <c r="I267" s="199"/>
      <c r="J267" s="62">
        <f t="shared" si="13"/>
        <v>0</v>
      </c>
      <c r="K267" s="94">
        <f t="shared" si="14"/>
        <v>0</v>
      </c>
      <c r="L267" s="61">
        <f t="shared" si="15"/>
        <v>0</v>
      </c>
      <c r="M267" s="198"/>
      <c r="N267" s="1379"/>
      <c r="O267" s="1422"/>
      <c r="P267" s="1380"/>
    </row>
    <row r="268" spans="1:16" s="66" customFormat="1" ht="13">
      <c r="A268" s="186"/>
      <c r="B268" s="187"/>
      <c r="C268" s="189"/>
      <c r="D268" s="190"/>
      <c r="E268" s="190"/>
      <c r="F268" s="189"/>
      <c r="G268" s="191"/>
      <c r="H268" s="61">
        <f t="shared" si="12"/>
        <v>0</v>
      </c>
      <c r="I268" s="199"/>
      <c r="J268" s="62">
        <f t="shared" si="13"/>
        <v>0</v>
      </c>
      <c r="K268" s="94">
        <f t="shared" si="14"/>
        <v>0</v>
      </c>
      <c r="L268" s="61">
        <f t="shared" si="15"/>
        <v>0</v>
      </c>
      <c r="M268" s="198"/>
      <c r="N268" s="1379"/>
      <c r="O268" s="1422"/>
      <c r="P268" s="1380"/>
    </row>
    <row r="269" spans="1:16" s="66" customFormat="1" ht="13">
      <c r="A269" s="186"/>
      <c r="B269" s="187"/>
      <c r="C269" s="189"/>
      <c r="D269" s="190"/>
      <c r="E269" s="190"/>
      <c r="F269" s="189"/>
      <c r="G269" s="191"/>
      <c r="H269" s="61">
        <f t="shared" si="12"/>
        <v>0</v>
      </c>
      <c r="I269" s="199"/>
      <c r="J269" s="62">
        <f t="shared" si="13"/>
        <v>0</v>
      </c>
      <c r="K269" s="94">
        <f t="shared" si="14"/>
        <v>0</v>
      </c>
      <c r="L269" s="61">
        <f t="shared" si="15"/>
        <v>0</v>
      </c>
      <c r="M269" s="198"/>
      <c r="N269" s="1379"/>
      <c r="O269" s="1422"/>
      <c r="P269" s="1380"/>
    </row>
    <row r="270" spans="1:16" s="66" customFormat="1" ht="13">
      <c r="A270" s="186"/>
      <c r="B270" s="187"/>
      <c r="C270" s="189"/>
      <c r="D270" s="190"/>
      <c r="E270" s="190"/>
      <c r="F270" s="189"/>
      <c r="G270" s="191"/>
      <c r="H270" s="61">
        <f t="shared" ref="H270:H313" si="16">IF(F270=0,0,(+G270)/F270)</f>
        <v>0</v>
      </c>
      <c r="I270" s="199"/>
      <c r="J270" s="62">
        <f t="shared" ref="J270:J313" si="17">H270 * I270</f>
        <v>0</v>
      </c>
      <c r="K270" s="94">
        <f t="shared" ref="K270:K313" si="18">I270 - F270</f>
        <v>0</v>
      </c>
      <c r="L270" s="61">
        <f t="shared" ref="L270:L313" si="19">J270-G270</f>
        <v>0</v>
      </c>
      <c r="M270" s="198"/>
      <c r="N270" s="1379"/>
      <c r="O270" s="1422"/>
      <c r="P270" s="1380"/>
    </row>
    <row r="271" spans="1:16" s="66" customFormat="1" ht="13">
      <c r="A271" s="186"/>
      <c r="B271" s="187"/>
      <c r="C271" s="189"/>
      <c r="D271" s="190"/>
      <c r="E271" s="190"/>
      <c r="F271" s="189"/>
      <c r="G271" s="191"/>
      <c r="H271" s="61">
        <f t="shared" si="16"/>
        <v>0</v>
      </c>
      <c r="I271" s="199"/>
      <c r="J271" s="62">
        <f t="shared" si="17"/>
        <v>0</v>
      </c>
      <c r="K271" s="94">
        <f t="shared" si="18"/>
        <v>0</v>
      </c>
      <c r="L271" s="61">
        <f t="shared" si="19"/>
        <v>0</v>
      </c>
      <c r="M271" s="198"/>
      <c r="N271" s="1379"/>
      <c r="O271" s="1422"/>
      <c r="P271" s="1380"/>
    </row>
    <row r="272" spans="1:16" s="66" customFormat="1" ht="13">
      <c r="A272" s="186"/>
      <c r="B272" s="187"/>
      <c r="C272" s="189"/>
      <c r="D272" s="190"/>
      <c r="E272" s="190"/>
      <c r="F272" s="189"/>
      <c r="G272" s="191"/>
      <c r="H272" s="61">
        <f t="shared" si="16"/>
        <v>0</v>
      </c>
      <c r="I272" s="199"/>
      <c r="J272" s="62">
        <f t="shared" si="17"/>
        <v>0</v>
      </c>
      <c r="K272" s="94">
        <f t="shared" si="18"/>
        <v>0</v>
      </c>
      <c r="L272" s="61">
        <f t="shared" si="19"/>
        <v>0</v>
      </c>
      <c r="M272" s="198"/>
      <c r="N272" s="1379"/>
      <c r="O272" s="1422"/>
      <c r="P272" s="1380"/>
    </row>
    <row r="273" spans="1:16" s="66" customFormat="1" ht="13">
      <c r="A273" s="186"/>
      <c r="B273" s="187"/>
      <c r="C273" s="189"/>
      <c r="D273" s="190"/>
      <c r="E273" s="190"/>
      <c r="F273" s="189"/>
      <c r="G273" s="191"/>
      <c r="H273" s="61">
        <f t="shared" si="16"/>
        <v>0</v>
      </c>
      <c r="I273" s="199"/>
      <c r="J273" s="62">
        <f t="shared" si="17"/>
        <v>0</v>
      </c>
      <c r="K273" s="94">
        <f t="shared" si="18"/>
        <v>0</v>
      </c>
      <c r="L273" s="61">
        <f t="shared" si="19"/>
        <v>0</v>
      </c>
      <c r="M273" s="198"/>
      <c r="N273" s="1379"/>
      <c r="O273" s="1422"/>
      <c r="P273" s="1380"/>
    </row>
    <row r="274" spans="1:16" s="66" customFormat="1" ht="13">
      <c r="A274" s="186"/>
      <c r="B274" s="187"/>
      <c r="C274" s="189"/>
      <c r="D274" s="190"/>
      <c r="E274" s="190"/>
      <c r="F274" s="189"/>
      <c r="G274" s="191"/>
      <c r="H274" s="61">
        <f t="shared" si="16"/>
        <v>0</v>
      </c>
      <c r="I274" s="199"/>
      <c r="J274" s="62">
        <f t="shared" si="17"/>
        <v>0</v>
      </c>
      <c r="K274" s="94">
        <f t="shared" si="18"/>
        <v>0</v>
      </c>
      <c r="L274" s="61">
        <f t="shared" si="19"/>
        <v>0</v>
      </c>
      <c r="M274" s="198"/>
      <c r="N274" s="1379"/>
      <c r="O274" s="1422"/>
      <c r="P274" s="1380"/>
    </row>
    <row r="275" spans="1:16" s="66" customFormat="1" ht="13">
      <c r="A275" s="186"/>
      <c r="B275" s="187"/>
      <c r="C275" s="189"/>
      <c r="D275" s="190"/>
      <c r="E275" s="190"/>
      <c r="F275" s="189"/>
      <c r="G275" s="191"/>
      <c r="H275" s="61">
        <f t="shared" si="16"/>
        <v>0</v>
      </c>
      <c r="I275" s="199"/>
      <c r="J275" s="62">
        <f t="shared" si="17"/>
        <v>0</v>
      </c>
      <c r="K275" s="94">
        <f t="shared" si="18"/>
        <v>0</v>
      </c>
      <c r="L275" s="61">
        <f t="shared" si="19"/>
        <v>0</v>
      </c>
      <c r="M275" s="198"/>
      <c r="N275" s="1379"/>
      <c r="O275" s="1422"/>
      <c r="P275" s="1380"/>
    </row>
    <row r="276" spans="1:16" s="66" customFormat="1" ht="13">
      <c r="A276" s="186"/>
      <c r="B276" s="187"/>
      <c r="C276" s="189"/>
      <c r="D276" s="190"/>
      <c r="E276" s="190"/>
      <c r="F276" s="189"/>
      <c r="G276" s="191"/>
      <c r="H276" s="61">
        <f t="shared" si="16"/>
        <v>0</v>
      </c>
      <c r="I276" s="199"/>
      <c r="J276" s="62">
        <f t="shared" si="17"/>
        <v>0</v>
      </c>
      <c r="K276" s="94">
        <f t="shared" si="18"/>
        <v>0</v>
      </c>
      <c r="L276" s="61">
        <f t="shared" si="19"/>
        <v>0</v>
      </c>
      <c r="M276" s="198"/>
      <c r="N276" s="1379"/>
      <c r="O276" s="1422"/>
      <c r="P276" s="1380"/>
    </row>
    <row r="277" spans="1:16" s="66" customFormat="1" ht="13">
      <c r="A277" s="186"/>
      <c r="B277" s="187"/>
      <c r="C277" s="189"/>
      <c r="D277" s="190"/>
      <c r="E277" s="190"/>
      <c r="F277" s="189"/>
      <c r="G277" s="191"/>
      <c r="H277" s="61">
        <f t="shared" si="16"/>
        <v>0</v>
      </c>
      <c r="I277" s="199"/>
      <c r="J277" s="62">
        <f t="shared" si="17"/>
        <v>0</v>
      </c>
      <c r="K277" s="94">
        <f t="shared" si="18"/>
        <v>0</v>
      </c>
      <c r="L277" s="61">
        <f t="shared" si="19"/>
        <v>0</v>
      </c>
      <c r="M277" s="198"/>
      <c r="N277" s="1379"/>
      <c r="O277" s="1422"/>
      <c r="P277" s="1380"/>
    </row>
    <row r="278" spans="1:16" s="66" customFormat="1" ht="13">
      <c r="A278" s="186"/>
      <c r="B278" s="187"/>
      <c r="C278" s="189"/>
      <c r="D278" s="190"/>
      <c r="E278" s="190"/>
      <c r="F278" s="189"/>
      <c r="G278" s="191"/>
      <c r="H278" s="61">
        <f t="shared" si="16"/>
        <v>0</v>
      </c>
      <c r="I278" s="199"/>
      <c r="J278" s="62">
        <f t="shared" si="17"/>
        <v>0</v>
      </c>
      <c r="K278" s="94">
        <f t="shared" si="18"/>
        <v>0</v>
      </c>
      <c r="L278" s="61">
        <f t="shared" si="19"/>
        <v>0</v>
      </c>
      <c r="M278" s="198"/>
      <c r="N278" s="1379"/>
      <c r="O278" s="1422"/>
      <c r="P278" s="1380"/>
    </row>
    <row r="279" spans="1:16" s="66" customFormat="1" ht="13">
      <c r="A279" s="186"/>
      <c r="B279" s="187"/>
      <c r="C279" s="189"/>
      <c r="D279" s="190"/>
      <c r="E279" s="190"/>
      <c r="F279" s="189"/>
      <c r="G279" s="191"/>
      <c r="H279" s="61">
        <f t="shared" si="16"/>
        <v>0</v>
      </c>
      <c r="I279" s="199"/>
      <c r="J279" s="62">
        <f t="shared" si="17"/>
        <v>0</v>
      </c>
      <c r="K279" s="94">
        <f t="shared" si="18"/>
        <v>0</v>
      </c>
      <c r="L279" s="61">
        <f t="shared" si="19"/>
        <v>0</v>
      </c>
      <c r="M279" s="198"/>
      <c r="N279" s="1379"/>
      <c r="O279" s="1422"/>
      <c r="P279" s="1380"/>
    </row>
    <row r="280" spans="1:16" s="66" customFormat="1" ht="13">
      <c r="A280" s="186"/>
      <c r="B280" s="187"/>
      <c r="C280" s="189"/>
      <c r="D280" s="190"/>
      <c r="E280" s="190"/>
      <c r="F280" s="189"/>
      <c r="G280" s="191"/>
      <c r="H280" s="61">
        <f t="shared" si="16"/>
        <v>0</v>
      </c>
      <c r="I280" s="199"/>
      <c r="J280" s="62">
        <f t="shared" si="17"/>
        <v>0</v>
      </c>
      <c r="K280" s="94">
        <f t="shared" si="18"/>
        <v>0</v>
      </c>
      <c r="L280" s="61">
        <f t="shared" si="19"/>
        <v>0</v>
      </c>
      <c r="M280" s="198"/>
      <c r="N280" s="1379"/>
      <c r="O280" s="1422"/>
      <c r="P280" s="1380"/>
    </row>
    <row r="281" spans="1:16" s="66" customFormat="1" ht="13">
      <c r="A281" s="186"/>
      <c r="B281" s="187"/>
      <c r="C281" s="189"/>
      <c r="D281" s="190"/>
      <c r="E281" s="190"/>
      <c r="F281" s="189"/>
      <c r="G281" s="191"/>
      <c r="H281" s="61">
        <f t="shared" si="16"/>
        <v>0</v>
      </c>
      <c r="I281" s="199"/>
      <c r="J281" s="62">
        <f t="shared" si="17"/>
        <v>0</v>
      </c>
      <c r="K281" s="94">
        <f t="shared" si="18"/>
        <v>0</v>
      </c>
      <c r="L281" s="61">
        <f t="shared" si="19"/>
        <v>0</v>
      </c>
      <c r="M281" s="198"/>
      <c r="N281" s="1379"/>
      <c r="O281" s="1422"/>
      <c r="P281" s="1380"/>
    </row>
    <row r="282" spans="1:16" s="66" customFormat="1" ht="13">
      <c r="A282" s="186"/>
      <c r="B282" s="187"/>
      <c r="C282" s="189"/>
      <c r="D282" s="190"/>
      <c r="E282" s="190"/>
      <c r="F282" s="189"/>
      <c r="G282" s="191"/>
      <c r="H282" s="61">
        <f t="shared" si="16"/>
        <v>0</v>
      </c>
      <c r="I282" s="199"/>
      <c r="J282" s="62">
        <f t="shared" si="17"/>
        <v>0</v>
      </c>
      <c r="K282" s="94">
        <f t="shared" si="18"/>
        <v>0</v>
      </c>
      <c r="L282" s="61">
        <f t="shared" si="19"/>
        <v>0</v>
      </c>
      <c r="M282" s="198"/>
      <c r="N282" s="1379"/>
      <c r="O282" s="1422"/>
      <c r="P282" s="1380"/>
    </row>
    <row r="283" spans="1:16" s="66" customFormat="1" ht="13">
      <c r="A283" s="186"/>
      <c r="B283" s="187"/>
      <c r="C283" s="189"/>
      <c r="D283" s="190"/>
      <c r="E283" s="190"/>
      <c r="F283" s="189"/>
      <c r="G283" s="191"/>
      <c r="H283" s="61">
        <f t="shared" si="16"/>
        <v>0</v>
      </c>
      <c r="I283" s="199"/>
      <c r="J283" s="62">
        <f t="shared" si="17"/>
        <v>0</v>
      </c>
      <c r="K283" s="94">
        <f t="shared" si="18"/>
        <v>0</v>
      </c>
      <c r="L283" s="61">
        <f t="shared" si="19"/>
        <v>0</v>
      </c>
      <c r="M283" s="198"/>
      <c r="N283" s="1379"/>
      <c r="O283" s="1422"/>
      <c r="P283" s="1380"/>
    </row>
    <row r="284" spans="1:16" s="66" customFormat="1" ht="13">
      <c r="A284" s="186"/>
      <c r="B284" s="187"/>
      <c r="C284" s="189"/>
      <c r="D284" s="190"/>
      <c r="E284" s="190"/>
      <c r="F284" s="189"/>
      <c r="G284" s="191"/>
      <c r="H284" s="61">
        <f t="shared" si="16"/>
        <v>0</v>
      </c>
      <c r="I284" s="199"/>
      <c r="J284" s="62">
        <f t="shared" si="17"/>
        <v>0</v>
      </c>
      <c r="K284" s="94">
        <f t="shared" si="18"/>
        <v>0</v>
      </c>
      <c r="L284" s="61">
        <f t="shared" si="19"/>
        <v>0</v>
      </c>
      <c r="M284" s="198"/>
      <c r="N284" s="1379"/>
      <c r="O284" s="1422"/>
      <c r="P284" s="1380"/>
    </row>
    <row r="285" spans="1:16" s="66" customFormat="1" ht="13">
      <c r="A285" s="186"/>
      <c r="B285" s="187"/>
      <c r="C285" s="189"/>
      <c r="D285" s="190"/>
      <c r="E285" s="190"/>
      <c r="F285" s="189"/>
      <c r="G285" s="191"/>
      <c r="H285" s="61">
        <f t="shared" si="16"/>
        <v>0</v>
      </c>
      <c r="I285" s="199"/>
      <c r="J285" s="62">
        <f t="shared" si="17"/>
        <v>0</v>
      </c>
      <c r="K285" s="94">
        <f t="shared" si="18"/>
        <v>0</v>
      </c>
      <c r="L285" s="61">
        <f t="shared" si="19"/>
        <v>0</v>
      </c>
      <c r="M285" s="198"/>
      <c r="N285" s="1379"/>
      <c r="O285" s="1422"/>
      <c r="P285" s="1380"/>
    </row>
    <row r="286" spans="1:16" s="66" customFormat="1" ht="13">
      <c r="A286" s="186"/>
      <c r="B286" s="187"/>
      <c r="C286" s="189"/>
      <c r="D286" s="190"/>
      <c r="E286" s="190"/>
      <c r="F286" s="189"/>
      <c r="G286" s="191"/>
      <c r="H286" s="61">
        <f t="shared" si="16"/>
        <v>0</v>
      </c>
      <c r="I286" s="199"/>
      <c r="J286" s="62">
        <f t="shared" si="17"/>
        <v>0</v>
      </c>
      <c r="K286" s="94">
        <f t="shared" si="18"/>
        <v>0</v>
      </c>
      <c r="L286" s="61">
        <f t="shared" si="19"/>
        <v>0</v>
      </c>
      <c r="M286" s="198"/>
      <c r="N286" s="1379"/>
      <c r="O286" s="1422"/>
      <c r="P286" s="1380"/>
    </row>
    <row r="287" spans="1:16" s="66" customFormat="1" ht="13">
      <c r="A287" s="186"/>
      <c r="B287" s="187"/>
      <c r="C287" s="189"/>
      <c r="D287" s="190"/>
      <c r="E287" s="190"/>
      <c r="F287" s="189"/>
      <c r="G287" s="191"/>
      <c r="H287" s="61">
        <f t="shared" si="16"/>
        <v>0</v>
      </c>
      <c r="I287" s="199"/>
      <c r="J287" s="62">
        <f t="shared" si="17"/>
        <v>0</v>
      </c>
      <c r="K287" s="94">
        <f t="shared" si="18"/>
        <v>0</v>
      </c>
      <c r="L287" s="61">
        <f t="shared" si="19"/>
        <v>0</v>
      </c>
      <c r="M287" s="198"/>
      <c r="N287" s="1379"/>
      <c r="O287" s="1422"/>
      <c r="P287" s="1380"/>
    </row>
    <row r="288" spans="1:16" s="66" customFormat="1" ht="13">
      <c r="A288" s="186"/>
      <c r="B288" s="187"/>
      <c r="C288" s="189"/>
      <c r="D288" s="190"/>
      <c r="E288" s="190"/>
      <c r="F288" s="189"/>
      <c r="G288" s="191"/>
      <c r="H288" s="61">
        <f t="shared" si="16"/>
        <v>0</v>
      </c>
      <c r="I288" s="199"/>
      <c r="J288" s="62">
        <f t="shared" si="17"/>
        <v>0</v>
      </c>
      <c r="K288" s="94">
        <f t="shared" si="18"/>
        <v>0</v>
      </c>
      <c r="L288" s="61">
        <f t="shared" si="19"/>
        <v>0</v>
      </c>
      <c r="M288" s="198"/>
      <c r="N288" s="1379"/>
      <c r="O288" s="1422"/>
      <c r="P288" s="1380"/>
    </row>
    <row r="289" spans="1:16" s="66" customFormat="1" ht="13">
      <c r="A289" s="186"/>
      <c r="B289" s="187"/>
      <c r="C289" s="189"/>
      <c r="D289" s="190"/>
      <c r="E289" s="190"/>
      <c r="F289" s="189"/>
      <c r="G289" s="191"/>
      <c r="H289" s="61">
        <f t="shared" si="16"/>
        <v>0</v>
      </c>
      <c r="I289" s="199"/>
      <c r="J289" s="62">
        <f t="shared" si="17"/>
        <v>0</v>
      </c>
      <c r="K289" s="94">
        <f t="shared" si="18"/>
        <v>0</v>
      </c>
      <c r="L289" s="61">
        <f t="shared" si="19"/>
        <v>0</v>
      </c>
      <c r="M289" s="198"/>
      <c r="N289" s="1379"/>
      <c r="O289" s="1422"/>
      <c r="P289" s="1380"/>
    </row>
    <row r="290" spans="1:16" s="66" customFormat="1" ht="13">
      <c r="A290" s="186"/>
      <c r="B290" s="187"/>
      <c r="C290" s="189"/>
      <c r="D290" s="190"/>
      <c r="E290" s="190"/>
      <c r="F290" s="189"/>
      <c r="G290" s="191"/>
      <c r="H290" s="61">
        <f t="shared" si="16"/>
        <v>0</v>
      </c>
      <c r="I290" s="199"/>
      <c r="J290" s="62">
        <f t="shared" si="17"/>
        <v>0</v>
      </c>
      <c r="K290" s="94">
        <f t="shared" si="18"/>
        <v>0</v>
      </c>
      <c r="L290" s="61">
        <f t="shared" si="19"/>
        <v>0</v>
      </c>
      <c r="M290" s="198"/>
      <c r="N290" s="1379"/>
      <c r="O290" s="1422"/>
      <c r="P290" s="1380"/>
    </row>
    <row r="291" spans="1:16" s="66" customFormat="1" ht="13">
      <c r="A291" s="186"/>
      <c r="B291" s="187"/>
      <c r="C291" s="189"/>
      <c r="D291" s="190"/>
      <c r="E291" s="190"/>
      <c r="F291" s="189"/>
      <c r="G291" s="191"/>
      <c r="H291" s="61">
        <f t="shared" si="16"/>
        <v>0</v>
      </c>
      <c r="I291" s="199"/>
      <c r="J291" s="62">
        <f t="shared" si="17"/>
        <v>0</v>
      </c>
      <c r="K291" s="94">
        <f t="shared" si="18"/>
        <v>0</v>
      </c>
      <c r="L291" s="61">
        <f t="shared" si="19"/>
        <v>0</v>
      </c>
      <c r="M291" s="198"/>
      <c r="N291" s="1379"/>
      <c r="O291" s="1422"/>
      <c r="P291" s="1380"/>
    </row>
    <row r="292" spans="1:16" s="66" customFormat="1" ht="13">
      <c r="A292" s="186"/>
      <c r="B292" s="187"/>
      <c r="C292" s="189"/>
      <c r="D292" s="190"/>
      <c r="E292" s="190"/>
      <c r="F292" s="189"/>
      <c r="G292" s="191"/>
      <c r="H292" s="61">
        <f t="shared" si="16"/>
        <v>0</v>
      </c>
      <c r="I292" s="199"/>
      <c r="J292" s="62">
        <f t="shared" si="17"/>
        <v>0</v>
      </c>
      <c r="K292" s="94">
        <f t="shared" si="18"/>
        <v>0</v>
      </c>
      <c r="L292" s="61">
        <f t="shared" si="19"/>
        <v>0</v>
      </c>
      <c r="M292" s="198"/>
      <c r="N292" s="1379"/>
      <c r="O292" s="1422"/>
      <c r="P292" s="1380"/>
    </row>
    <row r="293" spans="1:16" s="66" customFormat="1" ht="13">
      <c r="A293" s="186"/>
      <c r="B293" s="187"/>
      <c r="C293" s="189"/>
      <c r="D293" s="190"/>
      <c r="E293" s="190"/>
      <c r="F293" s="189"/>
      <c r="G293" s="191"/>
      <c r="H293" s="61">
        <f t="shared" si="16"/>
        <v>0</v>
      </c>
      <c r="I293" s="199"/>
      <c r="J293" s="62">
        <f t="shared" si="17"/>
        <v>0</v>
      </c>
      <c r="K293" s="94">
        <f t="shared" si="18"/>
        <v>0</v>
      </c>
      <c r="L293" s="61">
        <f t="shared" si="19"/>
        <v>0</v>
      </c>
      <c r="M293" s="198"/>
      <c r="N293" s="1379"/>
      <c r="O293" s="1422"/>
      <c r="P293" s="1380"/>
    </row>
    <row r="294" spans="1:16" s="66" customFormat="1" ht="13">
      <c r="A294" s="186"/>
      <c r="B294" s="187"/>
      <c r="C294" s="189"/>
      <c r="D294" s="190"/>
      <c r="E294" s="190"/>
      <c r="F294" s="189"/>
      <c r="G294" s="191"/>
      <c r="H294" s="61">
        <f t="shared" si="16"/>
        <v>0</v>
      </c>
      <c r="I294" s="199"/>
      <c r="J294" s="62">
        <f t="shared" si="17"/>
        <v>0</v>
      </c>
      <c r="K294" s="94">
        <f t="shared" si="18"/>
        <v>0</v>
      </c>
      <c r="L294" s="61">
        <f t="shared" si="19"/>
        <v>0</v>
      </c>
      <c r="M294" s="198"/>
      <c r="N294" s="1379"/>
      <c r="O294" s="1422"/>
      <c r="P294" s="1380"/>
    </row>
    <row r="295" spans="1:16" s="66" customFormat="1" ht="13">
      <c r="A295" s="186"/>
      <c r="B295" s="187"/>
      <c r="C295" s="189"/>
      <c r="D295" s="190"/>
      <c r="E295" s="190"/>
      <c r="F295" s="189"/>
      <c r="G295" s="191"/>
      <c r="H295" s="61">
        <f t="shared" si="16"/>
        <v>0</v>
      </c>
      <c r="I295" s="199"/>
      <c r="J295" s="62">
        <f t="shared" si="17"/>
        <v>0</v>
      </c>
      <c r="K295" s="94">
        <f t="shared" si="18"/>
        <v>0</v>
      </c>
      <c r="L295" s="61">
        <f t="shared" si="19"/>
        <v>0</v>
      </c>
      <c r="M295" s="198"/>
      <c r="N295" s="1379"/>
      <c r="O295" s="1422"/>
      <c r="P295" s="1380"/>
    </row>
    <row r="296" spans="1:16" s="66" customFormat="1" ht="13">
      <c r="A296" s="186"/>
      <c r="B296" s="187"/>
      <c r="C296" s="189"/>
      <c r="D296" s="190"/>
      <c r="E296" s="190"/>
      <c r="F296" s="189"/>
      <c r="G296" s="191"/>
      <c r="H296" s="61">
        <f t="shared" si="16"/>
        <v>0</v>
      </c>
      <c r="I296" s="199"/>
      <c r="J296" s="62">
        <f t="shared" si="17"/>
        <v>0</v>
      </c>
      <c r="K296" s="94">
        <f t="shared" si="18"/>
        <v>0</v>
      </c>
      <c r="L296" s="61">
        <f t="shared" si="19"/>
        <v>0</v>
      </c>
      <c r="M296" s="198"/>
      <c r="N296" s="1379"/>
      <c r="O296" s="1422"/>
      <c r="P296" s="1380"/>
    </row>
    <row r="297" spans="1:16" s="66" customFormat="1" ht="13">
      <c r="A297" s="186"/>
      <c r="B297" s="187"/>
      <c r="C297" s="189"/>
      <c r="D297" s="190"/>
      <c r="E297" s="190"/>
      <c r="F297" s="189"/>
      <c r="G297" s="191"/>
      <c r="H297" s="61">
        <f t="shared" si="16"/>
        <v>0</v>
      </c>
      <c r="I297" s="199"/>
      <c r="J297" s="62">
        <f t="shared" si="17"/>
        <v>0</v>
      </c>
      <c r="K297" s="94">
        <f t="shared" si="18"/>
        <v>0</v>
      </c>
      <c r="L297" s="61">
        <f t="shared" si="19"/>
        <v>0</v>
      </c>
      <c r="M297" s="198"/>
      <c r="N297" s="1379"/>
      <c r="O297" s="1422"/>
      <c r="P297" s="1380"/>
    </row>
    <row r="298" spans="1:16" s="66" customFormat="1" ht="13">
      <c r="A298" s="186"/>
      <c r="B298" s="187"/>
      <c r="C298" s="189"/>
      <c r="D298" s="190"/>
      <c r="E298" s="190"/>
      <c r="F298" s="189"/>
      <c r="G298" s="191"/>
      <c r="H298" s="61">
        <f t="shared" si="16"/>
        <v>0</v>
      </c>
      <c r="I298" s="199"/>
      <c r="J298" s="62">
        <f t="shared" si="17"/>
        <v>0</v>
      </c>
      <c r="K298" s="94">
        <f t="shared" si="18"/>
        <v>0</v>
      </c>
      <c r="L298" s="61">
        <f t="shared" si="19"/>
        <v>0</v>
      </c>
      <c r="M298" s="198"/>
      <c r="N298" s="1379"/>
      <c r="O298" s="1422"/>
      <c r="P298" s="1380"/>
    </row>
    <row r="299" spans="1:16" s="66" customFormat="1" ht="13">
      <c r="A299" s="186"/>
      <c r="B299" s="187"/>
      <c r="C299" s="189"/>
      <c r="D299" s="190"/>
      <c r="E299" s="190"/>
      <c r="F299" s="189"/>
      <c r="G299" s="191"/>
      <c r="H299" s="61">
        <f t="shared" si="16"/>
        <v>0</v>
      </c>
      <c r="I299" s="199"/>
      <c r="J299" s="62">
        <f t="shared" si="17"/>
        <v>0</v>
      </c>
      <c r="K299" s="94">
        <f t="shared" si="18"/>
        <v>0</v>
      </c>
      <c r="L299" s="61">
        <f t="shared" si="19"/>
        <v>0</v>
      </c>
      <c r="M299" s="198"/>
      <c r="N299" s="1379"/>
      <c r="O299" s="1422"/>
      <c r="P299" s="1380"/>
    </row>
    <row r="300" spans="1:16" s="66" customFormat="1" ht="13">
      <c r="A300" s="186"/>
      <c r="B300" s="187"/>
      <c r="C300" s="189"/>
      <c r="D300" s="190"/>
      <c r="E300" s="190"/>
      <c r="F300" s="189"/>
      <c r="G300" s="191"/>
      <c r="H300" s="61">
        <f t="shared" si="16"/>
        <v>0</v>
      </c>
      <c r="I300" s="199"/>
      <c r="J300" s="62">
        <f t="shared" si="17"/>
        <v>0</v>
      </c>
      <c r="K300" s="94">
        <f t="shared" si="18"/>
        <v>0</v>
      </c>
      <c r="L300" s="61">
        <f t="shared" si="19"/>
        <v>0</v>
      </c>
      <c r="M300" s="198"/>
      <c r="N300" s="1379"/>
      <c r="O300" s="1422"/>
      <c r="P300" s="1380"/>
    </row>
    <row r="301" spans="1:16" s="66" customFormat="1" ht="13">
      <c r="A301" s="186"/>
      <c r="B301" s="187"/>
      <c r="C301" s="189"/>
      <c r="D301" s="190"/>
      <c r="E301" s="190"/>
      <c r="F301" s="189"/>
      <c r="G301" s="191"/>
      <c r="H301" s="61">
        <f t="shared" si="16"/>
        <v>0</v>
      </c>
      <c r="I301" s="199"/>
      <c r="J301" s="62">
        <f t="shared" si="17"/>
        <v>0</v>
      </c>
      <c r="K301" s="94">
        <f t="shared" si="18"/>
        <v>0</v>
      </c>
      <c r="L301" s="61">
        <f t="shared" si="19"/>
        <v>0</v>
      </c>
      <c r="M301" s="198"/>
      <c r="N301" s="1379"/>
      <c r="O301" s="1422"/>
      <c r="P301" s="1380"/>
    </row>
    <row r="302" spans="1:16" s="66" customFormat="1" ht="13">
      <c r="A302" s="186"/>
      <c r="B302" s="187"/>
      <c r="C302" s="189"/>
      <c r="D302" s="190"/>
      <c r="E302" s="190"/>
      <c r="F302" s="189"/>
      <c r="G302" s="191"/>
      <c r="H302" s="61">
        <f t="shared" si="16"/>
        <v>0</v>
      </c>
      <c r="I302" s="199"/>
      <c r="J302" s="62">
        <f t="shared" si="17"/>
        <v>0</v>
      </c>
      <c r="K302" s="94">
        <f t="shared" si="18"/>
        <v>0</v>
      </c>
      <c r="L302" s="61">
        <f t="shared" si="19"/>
        <v>0</v>
      </c>
      <c r="M302" s="198"/>
      <c r="N302" s="1379"/>
      <c r="O302" s="1422"/>
      <c r="P302" s="1380"/>
    </row>
    <row r="303" spans="1:16" s="66" customFormat="1" ht="13">
      <c r="A303" s="186"/>
      <c r="B303" s="187"/>
      <c r="C303" s="189"/>
      <c r="D303" s="190"/>
      <c r="E303" s="190"/>
      <c r="F303" s="189"/>
      <c r="G303" s="191"/>
      <c r="H303" s="61">
        <f t="shared" si="16"/>
        <v>0</v>
      </c>
      <c r="I303" s="199"/>
      <c r="J303" s="62">
        <f t="shared" si="17"/>
        <v>0</v>
      </c>
      <c r="K303" s="94">
        <f t="shared" si="18"/>
        <v>0</v>
      </c>
      <c r="L303" s="61">
        <f t="shared" si="19"/>
        <v>0</v>
      </c>
      <c r="M303" s="198"/>
      <c r="N303" s="1379"/>
      <c r="O303" s="1422"/>
      <c r="P303" s="1380"/>
    </row>
    <row r="304" spans="1:16" s="66" customFormat="1" ht="13">
      <c r="A304" s="186"/>
      <c r="B304" s="187"/>
      <c r="C304" s="189"/>
      <c r="D304" s="190"/>
      <c r="E304" s="190"/>
      <c r="F304" s="189"/>
      <c r="G304" s="191"/>
      <c r="H304" s="61">
        <f t="shared" si="16"/>
        <v>0</v>
      </c>
      <c r="I304" s="199"/>
      <c r="J304" s="62">
        <f t="shared" si="17"/>
        <v>0</v>
      </c>
      <c r="K304" s="94">
        <f t="shared" si="18"/>
        <v>0</v>
      </c>
      <c r="L304" s="61">
        <f t="shared" si="19"/>
        <v>0</v>
      </c>
      <c r="M304" s="198"/>
      <c r="N304" s="1379"/>
      <c r="O304" s="1422"/>
      <c r="P304" s="1380"/>
    </row>
    <row r="305" spans="1:16" s="66" customFormat="1" ht="13">
      <c r="A305" s="186"/>
      <c r="B305" s="187"/>
      <c r="C305" s="189"/>
      <c r="D305" s="190"/>
      <c r="E305" s="190"/>
      <c r="F305" s="189"/>
      <c r="G305" s="191"/>
      <c r="H305" s="61">
        <f t="shared" si="16"/>
        <v>0</v>
      </c>
      <c r="I305" s="199"/>
      <c r="J305" s="62">
        <f t="shared" si="17"/>
        <v>0</v>
      </c>
      <c r="K305" s="94">
        <f t="shared" si="18"/>
        <v>0</v>
      </c>
      <c r="L305" s="61">
        <f t="shared" si="19"/>
        <v>0</v>
      </c>
      <c r="M305" s="198"/>
      <c r="N305" s="1379"/>
      <c r="O305" s="1422"/>
      <c r="P305" s="1380"/>
    </row>
    <row r="306" spans="1:16" s="66" customFormat="1" ht="13">
      <c r="A306" s="186"/>
      <c r="B306" s="187"/>
      <c r="C306" s="189"/>
      <c r="D306" s="190"/>
      <c r="E306" s="190"/>
      <c r="F306" s="189"/>
      <c r="G306" s="191"/>
      <c r="H306" s="61">
        <f t="shared" si="16"/>
        <v>0</v>
      </c>
      <c r="I306" s="199"/>
      <c r="J306" s="62">
        <f t="shared" si="17"/>
        <v>0</v>
      </c>
      <c r="K306" s="94">
        <f t="shared" si="18"/>
        <v>0</v>
      </c>
      <c r="L306" s="61">
        <f t="shared" si="19"/>
        <v>0</v>
      </c>
      <c r="M306" s="198"/>
      <c r="N306" s="1379"/>
      <c r="O306" s="1422"/>
      <c r="P306" s="1380"/>
    </row>
    <row r="307" spans="1:16" s="66" customFormat="1" ht="13">
      <c r="A307" s="186"/>
      <c r="B307" s="187"/>
      <c r="C307" s="189"/>
      <c r="D307" s="190"/>
      <c r="E307" s="190"/>
      <c r="F307" s="189"/>
      <c r="G307" s="191"/>
      <c r="H307" s="61">
        <f t="shared" si="16"/>
        <v>0</v>
      </c>
      <c r="I307" s="199"/>
      <c r="J307" s="62">
        <f t="shared" si="17"/>
        <v>0</v>
      </c>
      <c r="K307" s="94">
        <f t="shared" si="18"/>
        <v>0</v>
      </c>
      <c r="L307" s="61">
        <f t="shared" si="19"/>
        <v>0</v>
      </c>
      <c r="M307" s="198"/>
      <c r="N307" s="1379"/>
      <c r="O307" s="1422"/>
      <c r="P307" s="1380"/>
    </row>
    <row r="308" spans="1:16" s="66" customFormat="1" ht="13">
      <c r="A308" s="186"/>
      <c r="B308" s="187"/>
      <c r="C308" s="189"/>
      <c r="D308" s="190"/>
      <c r="E308" s="190"/>
      <c r="F308" s="189"/>
      <c r="G308" s="191"/>
      <c r="H308" s="61">
        <f t="shared" si="16"/>
        <v>0</v>
      </c>
      <c r="I308" s="199"/>
      <c r="J308" s="62">
        <f t="shared" si="17"/>
        <v>0</v>
      </c>
      <c r="K308" s="94">
        <f t="shared" si="18"/>
        <v>0</v>
      </c>
      <c r="L308" s="61">
        <f t="shared" si="19"/>
        <v>0</v>
      </c>
      <c r="M308" s="198"/>
      <c r="N308" s="1379"/>
      <c r="O308" s="1422"/>
      <c r="P308" s="1380"/>
    </row>
    <row r="309" spans="1:16" s="66" customFormat="1" ht="13">
      <c r="A309" s="186"/>
      <c r="B309" s="187"/>
      <c r="C309" s="189"/>
      <c r="D309" s="190"/>
      <c r="E309" s="190"/>
      <c r="F309" s="189"/>
      <c r="G309" s="191"/>
      <c r="H309" s="61">
        <f t="shared" si="16"/>
        <v>0</v>
      </c>
      <c r="I309" s="199"/>
      <c r="J309" s="62">
        <f t="shared" si="17"/>
        <v>0</v>
      </c>
      <c r="K309" s="94">
        <f t="shared" si="18"/>
        <v>0</v>
      </c>
      <c r="L309" s="61">
        <f t="shared" si="19"/>
        <v>0</v>
      </c>
      <c r="M309" s="198"/>
      <c r="N309" s="1379"/>
      <c r="O309" s="1422"/>
      <c r="P309" s="1380"/>
    </row>
    <row r="310" spans="1:16" s="66" customFormat="1" ht="13">
      <c r="A310" s="186"/>
      <c r="B310" s="187"/>
      <c r="C310" s="189"/>
      <c r="D310" s="190"/>
      <c r="E310" s="190"/>
      <c r="F310" s="189"/>
      <c r="G310" s="191"/>
      <c r="H310" s="61">
        <f t="shared" si="16"/>
        <v>0</v>
      </c>
      <c r="I310" s="199"/>
      <c r="J310" s="62">
        <f t="shared" si="17"/>
        <v>0</v>
      </c>
      <c r="K310" s="94">
        <f t="shared" si="18"/>
        <v>0</v>
      </c>
      <c r="L310" s="61">
        <f t="shared" si="19"/>
        <v>0</v>
      </c>
      <c r="M310" s="198"/>
      <c r="N310" s="1379"/>
      <c r="O310" s="1422"/>
      <c r="P310" s="1380"/>
    </row>
    <row r="311" spans="1:16" s="66" customFormat="1" ht="13">
      <c r="A311" s="186"/>
      <c r="B311" s="187"/>
      <c r="C311" s="189"/>
      <c r="D311" s="190"/>
      <c r="E311" s="190"/>
      <c r="F311" s="189"/>
      <c r="G311" s="191"/>
      <c r="H311" s="61">
        <f t="shared" si="16"/>
        <v>0</v>
      </c>
      <c r="I311" s="199"/>
      <c r="J311" s="62">
        <f t="shared" si="17"/>
        <v>0</v>
      </c>
      <c r="K311" s="94">
        <f t="shared" si="18"/>
        <v>0</v>
      </c>
      <c r="L311" s="61">
        <f t="shared" si="19"/>
        <v>0</v>
      </c>
      <c r="M311" s="198"/>
      <c r="N311" s="1379"/>
      <c r="O311" s="1422"/>
      <c r="P311" s="1380"/>
    </row>
    <row r="312" spans="1:16" s="66" customFormat="1" ht="13">
      <c r="A312" s="186"/>
      <c r="B312" s="187"/>
      <c r="C312" s="189"/>
      <c r="D312" s="190"/>
      <c r="E312" s="190"/>
      <c r="F312" s="189"/>
      <c r="G312" s="191"/>
      <c r="H312" s="61">
        <f t="shared" si="16"/>
        <v>0</v>
      </c>
      <c r="I312" s="199"/>
      <c r="J312" s="62">
        <f t="shared" si="17"/>
        <v>0</v>
      </c>
      <c r="K312" s="94">
        <f t="shared" si="18"/>
        <v>0</v>
      </c>
      <c r="L312" s="61">
        <f t="shared" si="19"/>
        <v>0</v>
      </c>
      <c r="M312" s="198"/>
      <c r="N312" s="1379"/>
      <c r="O312" s="1422"/>
      <c r="P312" s="1380"/>
    </row>
    <row r="313" spans="1:16" s="66" customFormat="1" ht="13">
      <c r="A313" s="186"/>
      <c r="B313" s="187"/>
      <c r="C313" s="189"/>
      <c r="D313" s="190"/>
      <c r="E313" s="190"/>
      <c r="F313" s="189"/>
      <c r="G313" s="191"/>
      <c r="H313" s="61">
        <f t="shared" si="16"/>
        <v>0</v>
      </c>
      <c r="I313" s="199"/>
      <c r="J313" s="62">
        <f t="shared" si="17"/>
        <v>0</v>
      </c>
      <c r="K313" s="94">
        <f t="shared" si="18"/>
        <v>0</v>
      </c>
      <c r="L313" s="61">
        <f t="shared" si="19"/>
        <v>0</v>
      </c>
      <c r="M313" s="198"/>
      <c r="N313" s="1379"/>
      <c r="O313" s="1422"/>
      <c r="P313" s="1380"/>
    </row>
  </sheetData>
  <sheetProtection password="A541" sheet="1" objects="1" scenarios="1" selectLockedCells="1"/>
  <customSheetViews>
    <customSheetView guid="{E1D23BD2-FE11-448B-A102-D2461140BE5A}" fitToPage="1" state="hidden">
      <pane ySplit="11.772727272727273" topLeftCell="A13" activePane="bottomLeft" state="frozen"/>
      <selection pane="bottomLeft" activeCell="M25" sqref="M25"/>
      <pageMargins left="0.25" right="0.25" top="0.75" bottom="0.75" header="0.25" footer="0.25"/>
      <printOptions horizontalCentered="1"/>
      <pageSetup scale="85" fitToHeight="7" orientation="landscape" r:id="rId1"/>
      <headerFooter>
        <oddHeader>&amp;L&amp;"Arial,Regular"&amp;8Texas Department of Aging
and Disability Services&amp;C&amp;"Arial,Bold"&amp;12ADULT FOSTER CARE/OUT OF HOME RESPITE
OHR REIMBURSEMENT&amp;R&amp;"Arial,Regular"&amp;8Form TBD
Page &amp;P</oddHeader>
      </headerFooter>
    </customSheetView>
    <customSheetView guid="{B71FF06E-B5A8-4FBF-B20E-2B604DE9BFBD}" fitToPage="1" state="hidden">
      <pane ySplit="12" topLeftCell="A13" activePane="bottomLeft" state="frozen"/>
      <selection pane="bottomLeft" activeCell="M25" sqref="M25"/>
      <pageMargins left="0.25" right="0.25" top="0.75" bottom="0.75" header="0.25" footer="0.25"/>
      <printOptions horizontalCentered="1"/>
      <pageSetup scale="85" fitToHeight="7" orientation="landscape" r:id="rId2"/>
      <headerFooter>
        <oddHeader>&amp;L&amp;"Arial,Regular"&amp;8Texas Department of Aging
and Disability Services&amp;C&amp;"Arial,Bold"&amp;12ADULT FOSTER CARE/OUT OF HOME RESPITE
OHR REIMBURSEMENT&amp;R&amp;"Arial,Regular"&amp;8Form TBD
Page &amp;P</oddHeader>
      </headerFooter>
    </customSheetView>
  </customSheetViews>
  <mergeCells count="343">
    <mergeCell ref="N313:P313"/>
    <mergeCell ref="N308:P308"/>
    <mergeCell ref="N309:P309"/>
    <mergeCell ref="N310:P310"/>
    <mergeCell ref="N311:P311"/>
    <mergeCell ref="N312:P312"/>
    <mergeCell ref="N303:P303"/>
    <mergeCell ref="N304:P304"/>
    <mergeCell ref="N305:P305"/>
    <mergeCell ref="N306:P306"/>
    <mergeCell ref="N307:P307"/>
    <mergeCell ref="N298:P298"/>
    <mergeCell ref="N299:P299"/>
    <mergeCell ref="N300:P300"/>
    <mergeCell ref="N301:P301"/>
    <mergeCell ref="N302:P302"/>
    <mergeCell ref="N293:P293"/>
    <mergeCell ref="N294:P294"/>
    <mergeCell ref="N295:P295"/>
    <mergeCell ref="N296:P296"/>
    <mergeCell ref="N297:P297"/>
    <mergeCell ref="N288:P288"/>
    <mergeCell ref="N289:P289"/>
    <mergeCell ref="N290:P290"/>
    <mergeCell ref="N291:P291"/>
    <mergeCell ref="N292:P292"/>
    <mergeCell ref="N283:P283"/>
    <mergeCell ref="N284:P284"/>
    <mergeCell ref="N285:P285"/>
    <mergeCell ref="N286:P286"/>
    <mergeCell ref="N287:P287"/>
    <mergeCell ref="N278:P278"/>
    <mergeCell ref="N279:P279"/>
    <mergeCell ref="N280:P280"/>
    <mergeCell ref="N281:P281"/>
    <mergeCell ref="N282:P282"/>
    <mergeCell ref="N273:P273"/>
    <mergeCell ref="N274:P274"/>
    <mergeCell ref="N275:P275"/>
    <mergeCell ref="N276:P276"/>
    <mergeCell ref="N277:P277"/>
    <mergeCell ref="N268:P268"/>
    <mergeCell ref="N269:P269"/>
    <mergeCell ref="N270:P270"/>
    <mergeCell ref="N271:P271"/>
    <mergeCell ref="N272:P272"/>
    <mergeCell ref="N263:P263"/>
    <mergeCell ref="N264:P264"/>
    <mergeCell ref="N265:P265"/>
    <mergeCell ref="N266:P266"/>
    <mergeCell ref="N267:P267"/>
    <mergeCell ref="N258:P258"/>
    <mergeCell ref="N259:P259"/>
    <mergeCell ref="N260:P260"/>
    <mergeCell ref="N261:P261"/>
    <mergeCell ref="N262:P262"/>
    <mergeCell ref="N253:P253"/>
    <mergeCell ref="N254:P254"/>
    <mergeCell ref="N255:P255"/>
    <mergeCell ref="N256:P256"/>
    <mergeCell ref="N257:P257"/>
    <mergeCell ref="N248:P248"/>
    <mergeCell ref="N249:P249"/>
    <mergeCell ref="N250:P250"/>
    <mergeCell ref="N251:P251"/>
    <mergeCell ref="N252:P252"/>
    <mergeCell ref="N243:P243"/>
    <mergeCell ref="N244:P244"/>
    <mergeCell ref="N245:P245"/>
    <mergeCell ref="N246:P246"/>
    <mergeCell ref="N247:P247"/>
    <mergeCell ref="N238:P238"/>
    <mergeCell ref="N239:P239"/>
    <mergeCell ref="N240:P240"/>
    <mergeCell ref="N241:P241"/>
    <mergeCell ref="N242:P242"/>
    <mergeCell ref="N233:P233"/>
    <mergeCell ref="N234:P234"/>
    <mergeCell ref="N235:P235"/>
    <mergeCell ref="N236:P236"/>
    <mergeCell ref="N237:P237"/>
    <mergeCell ref="N228:P228"/>
    <mergeCell ref="N229:P229"/>
    <mergeCell ref="N230:P230"/>
    <mergeCell ref="N231:P231"/>
    <mergeCell ref="N232:P232"/>
    <mergeCell ref="N223:P223"/>
    <mergeCell ref="N224:P224"/>
    <mergeCell ref="N225:P225"/>
    <mergeCell ref="N226:P226"/>
    <mergeCell ref="N227:P227"/>
    <mergeCell ref="N218:P218"/>
    <mergeCell ref="N219:P219"/>
    <mergeCell ref="N220:P220"/>
    <mergeCell ref="N221:P221"/>
    <mergeCell ref="N222:P222"/>
    <mergeCell ref="N213:P213"/>
    <mergeCell ref="N214:P214"/>
    <mergeCell ref="N215:P215"/>
    <mergeCell ref="N216:P216"/>
    <mergeCell ref="N217:P217"/>
    <mergeCell ref="N208:P208"/>
    <mergeCell ref="N209:P209"/>
    <mergeCell ref="N210:P210"/>
    <mergeCell ref="N211:P211"/>
    <mergeCell ref="N212:P212"/>
    <mergeCell ref="N203:P203"/>
    <mergeCell ref="N204:P204"/>
    <mergeCell ref="N205:P205"/>
    <mergeCell ref="N206:P206"/>
    <mergeCell ref="N207:P207"/>
    <mergeCell ref="N198:P198"/>
    <mergeCell ref="N199:P199"/>
    <mergeCell ref="N200:P200"/>
    <mergeCell ref="N201:P201"/>
    <mergeCell ref="N202:P202"/>
    <mergeCell ref="N193:P193"/>
    <mergeCell ref="N194:P194"/>
    <mergeCell ref="N195:P195"/>
    <mergeCell ref="N196:P196"/>
    <mergeCell ref="N197:P197"/>
    <mergeCell ref="N188:P188"/>
    <mergeCell ref="N189:P189"/>
    <mergeCell ref="N190:P190"/>
    <mergeCell ref="N191:P191"/>
    <mergeCell ref="N192:P192"/>
    <mergeCell ref="N183:P183"/>
    <mergeCell ref="N184:P184"/>
    <mergeCell ref="N185:P185"/>
    <mergeCell ref="N186:P186"/>
    <mergeCell ref="N187:P187"/>
    <mergeCell ref="N178:P178"/>
    <mergeCell ref="N179:P179"/>
    <mergeCell ref="N180:P180"/>
    <mergeCell ref="N181:P181"/>
    <mergeCell ref="N182:P182"/>
    <mergeCell ref="N173:P173"/>
    <mergeCell ref="N174:P174"/>
    <mergeCell ref="N175:P175"/>
    <mergeCell ref="N176:P176"/>
    <mergeCell ref="N177:P177"/>
    <mergeCell ref="N168:P168"/>
    <mergeCell ref="N169:P169"/>
    <mergeCell ref="N170:P170"/>
    <mergeCell ref="N171:P171"/>
    <mergeCell ref="N172:P172"/>
    <mergeCell ref="N163:P163"/>
    <mergeCell ref="N164:P164"/>
    <mergeCell ref="N165:P165"/>
    <mergeCell ref="N166:P166"/>
    <mergeCell ref="N167:P167"/>
    <mergeCell ref="N158:P158"/>
    <mergeCell ref="N159:P159"/>
    <mergeCell ref="N160:P160"/>
    <mergeCell ref="N161:P161"/>
    <mergeCell ref="N162:P162"/>
    <mergeCell ref="N153:P153"/>
    <mergeCell ref="N154:P154"/>
    <mergeCell ref="N155:P155"/>
    <mergeCell ref="N156:P156"/>
    <mergeCell ref="N157:P157"/>
    <mergeCell ref="N148:P148"/>
    <mergeCell ref="N149:P149"/>
    <mergeCell ref="N150:P150"/>
    <mergeCell ref="N151:P151"/>
    <mergeCell ref="N152:P152"/>
    <mergeCell ref="N143:P143"/>
    <mergeCell ref="N144:P144"/>
    <mergeCell ref="N145:P145"/>
    <mergeCell ref="N146:P146"/>
    <mergeCell ref="N147:P147"/>
    <mergeCell ref="N138:P138"/>
    <mergeCell ref="N139:P139"/>
    <mergeCell ref="N140:P140"/>
    <mergeCell ref="N141:P141"/>
    <mergeCell ref="N142:P142"/>
    <mergeCell ref="N133:P133"/>
    <mergeCell ref="N134:P134"/>
    <mergeCell ref="N135:P135"/>
    <mergeCell ref="N136:P136"/>
    <mergeCell ref="N137:P137"/>
    <mergeCell ref="N128:P128"/>
    <mergeCell ref="N129:P129"/>
    <mergeCell ref="N130:P130"/>
    <mergeCell ref="N131:P131"/>
    <mergeCell ref="N132:P132"/>
    <mergeCell ref="N123:P123"/>
    <mergeCell ref="N124:P124"/>
    <mergeCell ref="N125:P125"/>
    <mergeCell ref="N126:P126"/>
    <mergeCell ref="N127:P127"/>
    <mergeCell ref="N118:P118"/>
    <mergeCell ref="N119:P119"/>
    <mergeCell ref="N120:P120"/>
    <mergeCell ref="N121:P121"/>
    <mergeCell ref="N122:P122"/>
    <mergeCell ref="N113:P113"/>
    <mergeCell ref="N114:P114"/>
    <mergeCell ref="N115:P115"/>
    <mergeCell ref="N116:P116"/>
    <mergeCell ref="N117:P117"/>
    <mergeCell ref="N108:P108"/>
    <mergeCell ref="N109:P109"/>
    <mergeCell ref="N110:P110"/>
    <mergeCell ref="N111:P111"/>
    <mergeCell ref="N112:P112"/>
    <mergeCell ref="N103:P103"/>
    <mergeCell ref="N104:P104"/>
    <mergeCell ref="N105:P105"/>
    <mergeCell ref="N106:P106"/>
    <mergeCell ref="N107:P107"/>
    <mergeCell ref="N98:P98"/>
    <mergeCell ref="N99:P99"/>
    <mergeCell ref="N100:P100"/>
    <mergeCell ref="N101:P101"/>
    <mergeCell ref="N102:P102"/>
    <mergeCell ref="N93:P93"/>
    <mergeCell ref="N94:P94"/>
    <mergeCell ref="N95:P95"/>
    <mergeCell ref="N96:P96"/>
    <mergeCell ref="N97:P97"/>
    <mergeCell ref="N88:P88"/>
    <mergeCell ref="N89:P89"/>
    <mergeCell ref="N90:P90"/>
    <mergeCell ref="N91:P91"/>
    <mergeCell ref="N92:P92"/>
    <mergeCell ref="N83:P83"/>
    <mergeCell ref="N84:P84"/>
    <mergeCell ref="N85:P85"/>
    <mergeCell ref="N86:P86"/>
    <mergeCell ref="N87:P87"/>
    <mergeCell ref="N78:P78"/>
    <mergeCell ref="N79:P79"/>
    <mergeCell ref="N80:P80"/>
    <mergeCell ref="N81:P81"/>
    <mergeCell ref="N82:P82"/>
    <mergeCell ref="N73:P73"/>
    <mergeCell ref="N74:P74"/>
    <mergeCell ref="N75:P75"/>
    <mergeCell ref="N76:P76"/>
    <mergeCell ref="N77:P77"/>
    <mergeCell ref="N68:P68"/>
    <mergeCell ref="N69:P69"/>
    <mergeCell ref="N70:P70"/>
    <mergeCell ref="N71:P71"/>
    <mergeCell ref="N72:P72"/>
    <mergeCell ref="N63:P63"/>
    <mergeCell ref="N64:P64"/>
    <mergeCell ref="N65:P65"/>
    <mergeCell ref="N66:P66"/>
    <mergeCell ref="N67:P67"/>
    <mergeCell ref="N58:P58"/>
    <mergeCell ref="N59:P59"/>
    <mergeCell ref="N60:P60"/>
    <mergeCell ref="N61:P61"/>
    <mergeCell ref="N62:P62"/>
    <mergeCell ref="N53:P53"/>
    <mergeCell ref="N54:P54"/>
    <mergeCell ref="N55:P55"/>
    <mergeCell ref="N56:P56"/>
    <mergeCell ref="N57:P57"/>
    <mergeCell ref="N48:P48"/>
    <mergeCell ref="N49:P49"/>
    <mergeCell ref="N50:P50"/>
    <mergeCell ref="N51:P51"/>
    <mergeCell ref="N52:P52"/>
    <mergeCell ref="N43:P43"/>
    <mergeCell ref="N44:P44"/>
    <mergeCell ref="N45:P45"/>
    <mergeCell ref="N46:P46"/>
    <mergeCell ref="N47:P47"/>
    <mergeCell ref="N38:P38"/>
    <mergeCell ref="N39:P39"/>
    <mergeCell ref="N40:P40"/>
    <mergeCell ref="N41:P41"/>
    <mergeCell ref="N42:P42"/>
    <mergeCell ref="N33:P33"/>
    <mergeCell ref="N34:P34"/>
    <mergeCell ref="N35:P35"/>
    <mergeCell ref="N36:P36"/>
    <mergeCell ref="N37:P37"/>
    <mergeCell ref="N28:P28"/>
    <mergeCell ref="N29:P29"/>
    <mergeCell ref="N30:P30"/>
    <mergeCell ref="N31:P31"/>
    <mergeCell ref="N32:P32"/>
    <mergeCell ref="N23:P23"/>
    <mergeCell ref="N24:P24"/>
    <mergeCell ref="N25:P25"/>
    <mergeCell ref="N26:P26"/>
    <mergeCell ref="N27:P27"/>
    <mergeCell ref="N18:P18"/>
    <mergeCell ref="N19:P19"/>
    <mergeCell ref="N20:P20"/>
    <mergeCell ref="N21:P21"/>
    <mergeCell ref="N22:P22"/>
    <mergeCell ref="N13:P13"/>
    <mergeCell ref="N14:P14"/>
    <mergeCell ref="N15:P15"/>
    <mergeCell ref="N16:P16"/>
    <mergeCell ref="N17:P17"/>
    <mergeCell ref="H7:J7"/>
    <mergeCell ref="M9:P9"/>
    <mergeCell ref="D10:E10"/>
    <mergeCell ref="M10:P10"/>
    <mergeCell ref="A7:B7"/>
    <mergeCell ref="C7:E7"/>
    <mergeCell ref="F7:G7"/>
    <mergeCell ref="A9:H9"/>
    <mergeCell ref="J9:L9"/>
    <mergeCell ref="A8:P8"/>
    <mergeCell ref="A10:B10"/>
    <mergeCell ref="A11:A12"/>
    <mergeCell ref="M11:P11"/>
    <mergeCell ref="N12:P12"/>
    <mergeCell ref="H11:H12"/>
    <mergeCell ref="J11:J12"/>
    <mergeCell ref="K11:K12"/>
    <mergeCell ref="L11:L12"/>
    <mergeCell ref="B11:B12"/>
    <mergeCell ref="C11:C12"/>
    <mergeCell ref="D11:E11"/>
    <mergeCell ref="F11:F12"/>
    <mergeCell ref="G11:G12"/>
    <mergeCell ref="B5:E5"/>
    <mergeCell ref="F5:G5"/>
    <mergeCell ref="I5:J5"/>
    <mergeCell ref="A6:B6"/>
    <mergeCell ref="C6:E6"/>
    <mergeCell ref="F6:G6"/>
    <mergeCell ref="H6:J6"/>
    <mergeCell ref="G1:H1"/>
    <mergeCell ref="I1:J1"/>
    <mergeCell ref="G2:H2"/>
    <mergeCell ref="I2:J2"/>
    <mergeCell ref="A1:F1"/>
    <mergeCell ref="A2:F2"/>
    <mergeCell ref="F3:G3"/>
    <mergeCell ref="H3:J3"/>
    <mergeCell ref="F4:G4"/>
    <mergeCell ref="I4:J4"/>
    <mergeCell ref="A3:E3"/>
    <mergeCell ref="B4:E4"/>
  </mergeCells>
  <dataValidations count="11">
    <dataValidation type="list" allowBlank="1" showInputMessage="1" showErrorMessage="1" sqref="M13:M313" xr:uid="{00000000-0002-0000-1000-000000000000}">
      <formula1>"Y,N"</formula1>
    </dataValidation>
    <dataValidation allowBlank="1" showInputMessage="1" showErrorMessage="1" prompt="Enter the billable rate per floor plan and observation" sqref="J13:J313" xr:uid="{00000000-0002-0000-1000-000001000000}"/>
    <dataValidation type="whole" allowBlank="1" showInputMessage="1" showErrorMessage="1" prompt="Enter the number of billable/documented units/days from daily census. Refer to F3251" sqref="I13:I313" xr:uid="{00000000-0002-0000-1000-000002000000}">
      <formula1>1</formula1>
      <formula2>999</formula2>
    </dataValidation>
    <dataValidation allowBlank="1" showInputMessage="1" showErrorMessage="1" prompt="Enter the total amount paid by DADS for the service code in column &quot;C&quot; for the month in review. If DADS paid more than once during the month for the same service code enter the total amount paid by DADS for the month in review" sqref="G13:G313" xr:uid="{00000000-0002-0000-1000-000003000000}"/>
    <dataValidation type="whole" allowBlank="1" showInputMessage="1" showErrorMessage="1" prompt="Enter the total number of units/days billed for the service code in column &quot;C&quot; for the month in review" sqref="F13:F313" xr:uid="{00000000-0002-0000-1000-000004000000}">
      <formula1>1</formula1>
      <formula2>999</formula2>
    </dataValidation>
    <dataValidation type="whole" showInputMessage="1" showErrorMessage="1" sqref="I6:J6" xr:uid="{00000000-0002-0000-1000-000005000000}">
      <formula1>1</formula1>
      <formula2>999999999999</formula2>
    </dataValidation>
    <dataValidation type="date" operator="greaterThanOrEqual" allowBlank="1" showInputMessage="1" showErrorMessage="1" sqref="D13:E313" xr:uid="{00000000-0002-0000-1000-000006000000}">
      <formula1>1</formula1>
    </dataValidation>
    <dataValidation type="textLength" operator="lessThanOrEqual" allowBlank="1" showInputMessage="1" showErrorMessage="1" prompt="Enter comments/explanation you deem necessary" sqref="N13:P313" xr:uid="{00000000-0002-0000-1000-000007000000}">
      <formula1>1024</formula1>
    </dataValidation>
    <dataValidation allowBlank="1" showInputMessage="1" showErrorMessage="1" prompt="Enter the Clients ID number" sqref="B13:B313" xr:uid="{00000000-0002-0000-1000-000008000000}"/>
    <dataValidation allowBlank="1" showInputMessage="1" showErrorMessage="1" prompt="Enter applicable service code 11B" sqref="C13:C313" xr:uid="{00000000-0002-0000-1000-000009000000}"/>
    <dataValidation type="list" allowBlank="1" showInputMessage="1" showErrorMessage="1" sqref="A13:A313" xr:uid="{00000000-0002-0000-1000-00000A000000}">
      <formula1>"CBA-OHR"</formula1>
    </dataValidation>
  </dataValidations>
  <printOptions horizontalCentered="1"/>
  <pageMargins left="0.25" right="0.25" top="0.75" bottom="0.75" header="0.25" footer="0.25"/>
  <pageSetup scale="85" fitToHeight="7" orientation="landscape" r:id="rId3"/>
  <headerFooter>
    <oddHeader>&amp;L&amp;"Arial,Regular"&amp;8Texas Department of Aging
and Disability Services&amp;C&amp;"Arial,Bold"&amp;12ADULT FOSTER CARE/OUT OF HOME RESPITE
OHR REIMBURSEMENT&amp;R&amp;"Arial,Regular"&amp;8Form TBD
Page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N1018"/>
  <sheetViews>
    <sheetView zoomScaleNormal="100" zoomScaleSheetLayoutView="100" workbookViewId="0">
      <pane ySplit="16" topLeftCell="A17" activePane="bottomLeft" state="frozen"/>
      <selection pane="bottomLeft" activeCell="A17" sqref="A17"/>
    </sheetView>
  </sheetViews>
  <sheetFormatPr defaultRowHeight="14.5"/>
  <cols>
    <col min="1" max="1" width="9" customWidth="1"/>
    <col min="2" max="2" width="9.1796875" customWidth="1"/>
    <col min="3" max="3" width="8.81640625" customWidth="1"/>
    <col min="4" max="4" width="13.81640625" customWidth="1"/>
    <col min="5" max="5" width="5.81640625" customWidth="1"/>
    <col min="6" max="6" width="9" customWidth="1"/>
    <col min="7" max="8" width="8.81640625" customWidth="1"/>
    <col min="9" max="9" width="7.81640625" customWidth="1"/>
    <col min="10" max="10" width="8.81640625" customWidth="1"/>
    <col min="11" max="11" width="11.1796875" customWidth="1"/>
    <col min="12" max="12" width="38.81640625" customWidth="1"/>
  </cols>
  <sheetData>
    <row r="1" spans="1:14" s="1" customFormat="1" ht="15.75" customHeight="1" thickTop="1" thickBot="1">
      <c r="A1" s="1176" t="s">
        <v>0</v>
      </c>
      <c r="B1" s="595"/>
      <c r="C1" s="595"/>
      <c r="D1" s="595"/>
      <c r="E1" s="600"/>
      <c r="F1" s="1450" t="s">
        <v>1</v>
      </c>
      <c r="G1" s="1451"/>
      <c r="H1" s="1482"/>
      <c r="I1" s="1450" t="s">
        <v>2</v>
      </c>
      <c r="J1" s="1451"/>
      <c r="K1" s="1451"/>
      <c r="L1" s="1452"/>
    </row>
    <row r="2" spans="1:14" s="1" customFormat="1" ht="16.5" customHeight="1" thickBot="1">
      <c r="A2" s="1479">
        <f>NameOfLegalEntity</f>
        <v>0</v>
      </c>
      <c r="B2" s="1480"/>
      <c r="C2" s="1480"/>
      <c r="D2" s="1480"/>
      <c r="E2" s="1481"/>
      <c r="F2" s="1438">
        <f>ReviewLevel</f>
        <v>0</v>
      </c>
      <c r="G2" s="1439"/>
      <c r="H2" s="1440"/>
      <c r="I2" s="1438">
        <f>ReviewType</f>
        <v>0</v>
      </c>
      <c r="J2" s="1439"/>
      <c r="K2" s="1439"/>
      <c r="L2" s="1453"/>
    </row>
    <row r="3" spans="1:14" s="1" customFormat="1" ht="30.75" customHeight="1">
      <c r="A3" s="1207" t="s">
        <v>3</v>
      </c>
      <c r="B3" s="619"/>
      <c r="C3" s="610"/>
      <c r="D3" s="609" t="s">
        <v>4</v>
      </c>
      <c r="E3" s="610"/>
      <c r="F3" s="609" t="s">
        <v>894</v>
      </c>
      <c r="G3" s="610"/>
      <c r="H3" s="609" t="s">
        <v>894</v>
      </c>
      <c r="I3" s="616"/>
      <c r="J3" s="615" t="s">
        <v>939</v>
      </c>
      <c r="K3" s="1209"/>
      <c r="L3" s="1454"/>
    </row>
    <row r="4" spans="1:14" s="1" customFormat="1" ht="15" customHeight="1">
      <c r="A4" s="13" t="s">
        <v>6</v>
      </c>
      <c r="B4" s="1443">
        <f>CompletedByLastName</f>
        <v>0</v>
      </c>
      <c r="C4" s="1444"/>
      <c r="D4" s="615" t="s">
        <v>7</v>
      </c>
      <c r="E4" s="616"/>
      <c r="F4" s="615" t="s">
        <v>895</v>
      </c>
      <c r="G4" s="616"/>
      <c r="H4" s="615" t="s">
        <v>991</v>
      </c>
      <c r="I4" s="616"/>
      <c r="J4" s="226" t="s">
        <v>8</v>
      </c>
      <c r="K4" s="1455" t="str">
        <f>IF(DateOfMonitoringPeriodBegin="","",DateOfMonitoringPeriodBegin)</f>
        <v/>
      </c>
      <c r="L4" s="1456"/>
    </row>
    <row r="5" spans="1:14" s="1" customFormat="1" ht="16.5" customHeight="1" thickBot="1">
      <c r="A5" s="377" t="s">
        <v>9</v>
      </c>
      <c r="B5" s="1445">
        <f>CompletedByFirstName</f>
        <v>0</v>
      </c>
      <c r="C5" s="1446"/>
      <c r="D5" s="1187" t="str">
        <f>IF(DateOfEntrance="","",DateOfEntrance)</f>
        <v/>
      </c>
      <c r="E5" s="1188"/>
      <c r="F5" s="1189" t="str">
        <f>IF(DateOfExit="","",DateOfExit)</f>
        <v/>
      </c>
      <c r="G5" s="1190"/>
      <c r="H5" s="1189" t="str">
        <f>IF(DateOfRevisedExit="", "",DateOfRevisedExit)</f>
        <v/>
      </c>
      <c r="I5" s="1190"/>
      <c r="J5" s="213" t="s">
        <v>10</v>
      </c>
      <c r="K5" s="1457" t="str">
        <f>IF(DateOfMonitoringPeriodEnd="","",DateOfMonitoringPeriodEnd)</f>
        <v/>
      </c>
      <c r="L5" s="1458"/>
    </row>
    <row r="6" spans="1:14" s="1" customFormat="1" ht="15.75" customHeight="1" thickBot="1">
      <c r="A6" s="1476" t="s">
        <v>11</v>
      </c>
      <c r="B6" s="1441"/>
      <c r="C6" s="1441" t="s">
        <v>49</v>
      </c>
      <c r="D6" s="1441"/>
      <c r="E6" s="1441"/>
      <c r="F6" s="1459">
        <f>CBAOHRcontractNumber</f>
        <v>0</v>
      </c>
      <c r="G6" s="1460"/>
      <c r="H6" s="1460"/>
      <c r="I6" s="1460"/>
      <c r="J6" s="1460"/>
      <c r="K6" s="1460"/>
      <c r="L6" s="1461"/>
    </row>
    <row r="7" spans="1:14" s="1" customFormat="1" ht="15" customHeight="1" thickBot="1">
      <c r="A7" s="1477" t="s">
        <v>402</v>
      </c>
      <c r="B7" s="1478"/>
      <c r="C7" s="1442">
        <f>CCADAFCcontractNumber</f>
        <v>0</v>
      </c>
      <c r="D7" s="1442"/>
      <c r="E7" s="1442"/>
      <c r="F7" s="1462"/>
      <c r="G7" s="1463"/>
      <c r="H7" s="1463"/>
      <c r="I7" s="1463"/>
      <c r="J7" s="1463"/>
      <c r="K7" s="1463"/>
      <c r="L7" s="1464"/>
    </row>
    <row r="8" spans="1:14" ht="17.25" customHeight="1" thickBot="1">
      <c r="A8" s="1465" t="s">
        <v>66</v>
      </c>
      <c r="B8" s="1466"/>
      <c r="C8" s="1466"/>
      <c r="D8" s="1466"/>
      <c r="E8" s="1466"/>
      <c r="F8" s="1466"/>
      <c r="G8" s="1466"/>
      <c r="H8" s="1466"/>
      <c r="I8" s="1466"/>
      <c r="J8" s="1466"/>
      <c r="K8" s="1466"/>
      <c r="L8" s="1467"/>
      <c r="M8" s="1"/>
    </row>
    <row r="9" spans="1:14" ht="16.5" customHeight="1" thickBot="1">
      <c r="A9" s="1468" t="s">
        <v>397</v>
      </c>
      <c r="B9" s="1469"/>
      <c r="C9" s="1469"/>
      <c r="D9" s="1469"/>
      <c r="E9" s="1469"/>
      <c r="F9" s="1469"/>
      <c r="G9" s="1469"/>
      <c r="H9" s="1469"/>
      <c r="I9" s="1469"/>
      <c r="J9" s="1469"/>
      <c r="K9" s="1469"/>
      <c r="L9" s="1470"/>
    </row>
    <row r="10" spans="1:14" ht="15.75" customHeight="1" thickBot="1">
      <c r="A10" s="1423" t="s">
        <v>402</v>
      </c>
      <c r="B10" s="1424"/>
      <c r="C10" s="1424"/>
      <c r="D10" s="1424"/>
      <c r="E10" s="1424"/>
      <c r="F10" s="1424"/>
      <c r="G10" s="1424"/>
      <c r="H10" s="1471">
        <f>SUMIF($A$17:$A$1017, "CCAD-AFC",$K$17:$K$1017)</f>
        <v>0</v>
      </c>
      <c r="I10" s="1472"/>
      <c r="J10" s="1472"/>
      <c r="K10" s="1472"/>
      <c r="L10" s="1470"/>
    </row>
    <row r="11" spans="1:14" ht="15" thickBot="1">
      <c r="A11" s="975" t="s">
        <v>403</v>
      </c>
      <c r="B11" s="976"/>
      <c r="C11" s="976"/>
      <c r="D11" s="976"/>
      <c r="E11" s="976"/>
      <c r="F11" s="976"/>
      <c r="G11" s="976"/>
      <c r="H11" s="1473">
        <f>SUMIF($A$17:$A$1017, "CBA-AFC",$K$17:$K$1017)</f>
        <v>0</v>
      </c>
      <c r="I11" s="1219"/>
      <c r="J11" s="1219"/>
      <c r="K11" s="1219"/>
      <c r="L11" s="1474"/>
    </row>
    <row r="12" spans="1:14" ht="33" customHeight="1" thickTop="1" thickBot="1">
      <c r="A12" s="513" t="s">
        <v>936</v>
      </c>
      <c r="B12" s="514"/>
      <c r="C12" s="514"/>
      <c r="D12" s="514"/>
      <c r="E12" s="514"/>
      <c r="F12" s="514"/>
      <c r="G12" s="514"/>
      <c r="H12" s="514"/>
      <c r="I12" s="514"/>
      <c r="J12" s="514"/>
      <c r="K12" s="514"/>
      <c r="L12" s="1475"/>
    </row>
    <row r="13" spans="1:14" ht="38.25" customHeight="1" thickTop="1" thickBot="1">
      <c r="A13" s="1427" t="s">
        <v>927</v>
      </c>
      <c r="B13" s="1428"/>
      <c r="C13" s="1428"/>
      <c r="D13" s="1428"/>
      <c r="E13" s="1429"/>
      <c r="F13" s="1435" t="s">
        <v>396</v>
      </c>
      <c r="G13" s="1436"/>
      <c r="H13" s="1436"/>
      <c r="I13" s="1436"/>
      <c r="J13" s="1437"/>
      <c r="K13" s="1433" t="s">
        <v>1122</v>
      </c>
      <c r="L13" s="1447" t="s">
        <v>1148</v>
      </c>
      <c r="M13" s="1"/>
      <c r="N13" s="1"/>
    </row>
    <row r="14" spans="1:14" ht="18.75" customHeight="1" thickBot="1">
      <c r="A14" s="1430"/>
      <c r="B14" s="1431"/>
      <c r="C14" s="1431"/>
      <c r="D14" s="1431"/>
      <c r="E14" s="1432"/>
      <c r="F14" s="378" t="s">
        <v>253</v>
      </c>
      <c r="G14" s="379" t="s">
        <v>254</v>
      </c>
      <c r="H14" s="379" t="s">
        <v>254</v>
      </c>
      <c r="I14" s="379" t="s">
        <v>255</v>
      </c>
      <c r="J14" s="380" t="s">
        <v>256</v>
      </c>
      <c r="K14" s="1434"/>
      <c r="L14" s="1448"/>
      <c r="M14" s="74"/>
    </row>
    <row r="15" spans="1:14" ht="15.75" customHeight="1" thickBot="1">
      <c r="A15" s="1425" t="s">
        <v>67</v>
      </c>
      <c r="B15" s="379" t="s">
        <v>52</v>
      </c>
      <c r="C15" s="381" t="s">
        <v>53</v>
      </c>
      <c r="D15" s="382" t="s">
        <v>54</v>
      </c>
      <c r="E15" s="380" t="s">
        <v>55</v>
      </c>
      <c r="F15" s="378" t="s">
        <v>56</v>
      </c>
      <c r="G15" s="379" t="s">
        <v>57</v>
      </c>
      <c r="H15" s="379" t="s">
        <v>58</v>
      </c>
      <c r="I15" s="379" t="s">
        <v>59</v>
      </c>
      <c r="J15" s="380" t="s">
        <v>60</v>
      </c>
      <c r="K15" s="383" t="s">
        <v>71</v>
      </c>
      <c r="L15" s="1448"/>
    </row>
    <row r="16" spans="1:14" ht="71.25" customHeight="1" thickBot="1">
      <c r="A16" s="1426"/>
      <c r="B16" s="384" t="s">
        <v>41</v>
      </c>
      <c r="C16" s="385" t="s">
        <v>970</v>
      </c>
      <c r="D16" s="386" t="s">
        <v>40</v>
      </c>
      <c r="E16" s="387" t="s">
        <v>61</v>
      </c>
      <c r="F16" s="388" t="s">
        <v>62</v>
      </c>
      <c r="G16" s="389" t="s">
        <v>63</v>
      </c>
      <c r="H16" s="389" t="s">
        <v>64</v>
      </c>
      <c r="I16" s="389" t="s">
        <v>257</v>
      </c>
      <c r="J16" s="387" t="s">
        <v>65</v>
      </c>
      <c r="K16" s="390" t="s">
        <v>1036</v>
      </c>
      <c r="L16" s="1449"/>
    </row>
    <row r="17" spans="1:12" ht="15.5" thickTop="1" thickBot="1">
      <c r="A17" s="244"/>
      <c r="B17" s="245"/>
      <c r="C17" s="245"/>
      <c r="D17" s="246"/>
      <c r="E17" s="247"/>
      <c r="F17" s="248"/>
      <c r="G17" s="249"/>
      <c r="H17" s="249"/>
      <c r="I17" s="250"/>
      <c r="J17" s="251"/>
      <c r="K17" s="252"/>
      <c r="L17" s="391"/>
    </row>
    <row r="18" spans="1:12" ht="15.5" thickTop="1" thickBot="1">
      <c r="A18" s="239"/>
      <c r="B18" s="204"/>
      <c r="C18" s="204"/>
      <c r="D18" s="240"/>
      <c r="E18" s="241"/>
      <c r="F18" s="242"/>
      <c r="G18" s="200"/>
      <c r="H18" s="200"/>
      <c r="I18" s="243"/>
      <c r="J18" s="205"/>
      <c r="K18" s="206"/>
      <c r="L18" s="392"/>
    </row>
    <row r="19" spans="1:12" ht="15.5" thickTop="1" thickBot="1">
      <c r="A19" s="239"/>
      <c r="B19" s="204"/>
      <c r="C19" s="204"/>
      <c r="D19" s="240"/>
      <c r="E19" s="241"/>
      <c r="F19" s="242"/>
      <c r="G19" s="200"/>
      <c r="H19" s="200"/>
      <c r="I19" s="243"/>
      <c r="J19" s="205"/>
      <c r="K19" s="206"/>
      <c r="L19" s="392"/>
    </row>
    <row r="20" spans="1:12" ht="15.5" thickTop="1" thickBot="1">
      <c r="A20" s="239"/>
      <c r="B20" s="204"/>
      <c r="C20" s="204"/>
      <c r="D20" s="240"/>
      <c r="E20" s="241"/>
      <c r="F20" s="242"/>
      <c r="G20" s="200"/>
      <c r="H20" s="200"/>
      <c r="I20" s="243"/>
      <c r="J20" s="205"/>
      <c r="K20" s="206"/>
      <c r="L20" s="392"/>
    </row>
    <row r="21" spans="1:12" ht="15.5" thickTop="1" thickBot="1">
      <c r="A21" s="239"/>
      <c r="B21" s="204"/>
      <c r="C21" s="204"/>
      <c r="D21" s="240"/>
      <c r="E21" s="241"/>
      <c r="F21" s="242"/>
      <c r="G21" s="200"/>
      <c r="H21" s="200"/>
      <c r="I21" s="243"/>
      <c r="J21" s="205"/>
      <c r="K21" s="206"/>
      <c r="L21" s="392"/>
    </row>
    <row r="22" spans="1:12" ht="15.5" thickTop="1" thickBot="1">
      <c r="A22" s="239"/>
      <c r="B22" s="204"/>
      <c r="C22" s="204"/>
      <c r="D22" s="240"/>
      <c r="E22" s="241"/>
      <c r="F22" s="242"/>
      <c r="G22" s="200"/>
      <c r="H22" s="200"/>
      <c r="I22" s="243"/>
      <c r="J22" s="205"/>
      <c r="K22" s="206"/>
      <c r="L22" s="392"/>
    </row>
    <row r="23" spans="1:12" ht="15.5" thickTop="1" thickBot="1">
      <c r="A23" s="239"/>
      <c r="B23" s="204"/>
      <c r="C23" s="204"/>
      <c r="D23" s="240"/>
      <c r="E23" s="241"/>
      <c r="F23" s="242"/>
      <c r="G23" s="200"/>
      <c r="H23" s="200"/>
      <c r="I23" s="243"/>
      <c r="J23" s="205"/>
      <c r="K23" s="206"/>
      <c r="L23" s="392"/>
    </row>
    <row r="24" spans="1:12" ht="15.5" thickTop="1" thickBot="1">
      <c r="A24" s="239"/>
      <c r="B24" s="204"/>
      <c r="C24" s="204"/>
      <c r="D24" s="240"/>
      <c r="E24" s="241"/>
      <c r="F24" s="242"/>
      <c r="G24" s="200"/>
      <c r="H24" s="200"/>
      <c r="I24" s="243"/>
      <c r="J24" s="205"/>
      <c r="K24" s="206"/>
      <c r="L24" s="392"/>
    </row>
    <row r="25" spans="1:12" ht="15.5" thickTop="1" thickBot="1">
      <c r="A25" s="239"/>
      <c r="B25" s="204"/>
      <c r="C25" s="204"/>
      <c r="D25" s="240"/>
      <c r="E25" s="241"/>
      <c r="F25" s="242"/>
      <c r="G25" s="200"/>
      <c r="H25" s="200"/>
      <c r="I25" s="243"/>
      <c r="J25" s="205"/>
      <c r="K25" s="206"/>
      <c r="L25" s="392"/>
    </row>
    <row r="26" spans="1:12" ht="15.5" thickTop="1" thickBot="1">
      <c r="A26" s="239"/>
      <c r="B26" s="204"/>
      <c r="C26" s="204"/>
      <c r="D26" s="240"/>
      <c r="E26" s="241"/>
      <c r="F26" s="242"/>
      <c r="G26" s="200"/>
      <c r="H26" s="200"/>
      <c r="I26" s="243"/>
      <c r="J26" s="205"/>
      <c r="K26" s="206"/>
      <c r="L26" s="392"/>
    </row>
    <row r="27" spans="1:12" ht="15.5" thickTop="1" thickBot="1">
      <c r="A27" s="239"/>
      <c r="B27" s="204"/>
      <c r="C27" s="204"/>
      <c r="D27" s="240"/>
      <c r="E27" s="241"/>
      <c r="F27" s="242"/>
      <c r="G27" s="200"/>
      <c r="H27" s="200"/>
      <c r="I27" s="243"/>
      <c r="J27" s="205"/>
      <c r="K27" s="206"/>
      <c r="L27" s="392"/>
    </row>
    <row r="28" spans="1:12" ht="15.5" thickTop="1" thickBot="1">
      <c r="A28" s="239"/>
      <c r="B28" s="204"/>
      <c r="C28" s="204"/>
      <c r="D28" s="240"/>
      <c r="E28" s="241"/>
      <c r="F28" s="242"/>
      <c r="G28" s="200"/>
      <c r="H28" s="200"/>
      <c r="I28" s="243"/>
      <c r="J28" s="205"/>
      <c r="K28" s="206"/>
      <c r="L28" s="392"/>
    </row>
    <row r="29" spans="1:12" ht="15.5" thickTop="1" thickBot="1">
      <c r="A29" s="239"/>
      <c r="B29" s="204"/>
      <c r="C29" s="204"/>
      <c r="D29" s="240"/>
      <c r="E29" s="241"/>
      <c r="F29" s="242"/>
      <c r="G29" s="200"/>
      <c r="H29" s="200"/>
      <c r="I29" s="243"/>
      <c r="J29" s="205"/>
      <c r="K29" s="206"/>
      <c r="L29" s="392"/>
    </row>
    <row r="30" spans="1:12" ht="15.5" thickTop="1" thickBot="1">
      <c r="A30" s="239"/>
      <c r="B30" s="204"/>
      <c r="C30" s="204"/>
      <c r="D30" s="240"/>
      <c r="E30" s="241"/>
      <c r="F30" s="242"/>
      <c r="G30" s="200"/>
      <c r="H30" s="200"/>
      <c r="I30" s="243"/>
      <c r="J30" s="205"/>
      <c r="K30" s="206"/>
      <c r="L30" s="392"/>
    </row>
    <row r="31" spans="1:12" ht="15.5" thickTop="1" thickBot="1">
      <c r="A31" s="239"/>
      <c r="B31" s="204"/>
      <c r="C31" s="204"/>
      <c r="D31" s="240"/>
      <c r="E31" s="241"/>
      <c r="F31" s="242"/>
      <c r="G31" s="200"/>
      <c r="H31" s="200"/>
      <c r="I31" s="243"/>
      <c r="J31" s="205"/>
      <c r="K31" s="206"/>
      <c r="L31" s="392"/>
    </row>
    <row r="32" spans="1:12" ht="15.5" thickTop="1" thickBot="1">
      <c r="A32" s="239"/>
      <c r="B32" s="204"/>
      <c r="C32" s="204"/>
      <c r="D32" s="240"/>
      <c r="E32" s="241"/>
      <c r="F32" s="242"/>
      <c r="G32" s="200"/>
      <c r="H32" s="200"/>
      <c r="I32" s="243"/>
      <c r="J32" s="205"/>
      <c r="K32" s="206"/>
      <c r="L32" s="392"/>
    </row>
    <row r="33" spans="1:12" ht="15.5" thickTop="1" thickBot="1">
      <c r="A33" s="239"/>
      <c r="B33" s="204"/>
      <c r="C33" s="204"/>
      <c r="D33" s="240"/>
      <c r="E33" s="241"/>
      <c r="F33" s="242"/>
      <c r="G33" s="200"/>
      <c r="H33" s="200"/>
      <c r="I33" s="243"/>
      <c r="J33" s="205"/>
      <c r="K33" s="206"/>
      <c r="L33" s="392"/>
    </row>
    <row r="34" spans="1:12" ht="15.5" thickTop="1" thickBot="1">
      <c r="A34" s="239"/>
      <c r="B34" s="204"/>
      <c r="C34" s="204"/>
      <c r="D34" s="240"/>
      <c r="E34" s="241"/>
      <c r="F34" s="242"/>
      <c r="G34" s="200"/>
      <c r="H34" s="200"/>
      <c r="I34" s="243"/>
      <c r="J34" s="205"/>
      <c r="K34" s="206"/>
      <c r="L34" s="392"/>
    </row>
    <row r="35" spans="1:12" ht="15.5" thickTop="1" thickBot="1">
      <c r="A35" s="239"/>
      <c r="B35" s="204"/>
      <c r="C35" s="204"/>
      <c r="D35" s="240"/>
      <c r="E35" s="241"/>
      <c r="F35" s="242"/>
      <c r="G35" s="200"/>
      <c r="H35" s="200"/>
      <c r="I35" s="243"/>
      <c r="J35" s="205"/>
      <c r="K35" s="206"/>
      <c r="L35" s="392"/>
    </row>
    <row r="36" spans="1:12" ht="15.5" thickTop="1" thickBot="1">
      <c r="A36" s="239"/>
      <c r="B36" s="204"/>
      <c r="C36" s="204"/>
      <c r="D36" s="240"/>
      <c r="E36" s="241"/>
      <c r="F36" s="242"/>
      <c r="G36" s="200"/>
      <c r="H36" s="200"/>
      <c r="I36" s="243"/>
      <c r="J36" s="205"/>
      <c r="K36" s="206"/>
      <c r="L36" s="392"/>
    </row>
    <row r="37" spans="1:12" ht="15.5" thickTop="1" thickBot="1">
      <c r="A37" s="239"/>
      <c r="B37" s="204"/>
      <c r="C37" s="204"/>
      <c r="D37" s="240"/>
      <c r="E37" s="241"/>
      <c r="F37" s="242"/>
      <c r="G37" s="200"/>
      <c r="H37" s="200"/>
      <c r="I37" s="243"/>
      <c r="J37" s="205"/>
      <c r="K37" s="206"/>
      <c r="L37" s="392"/>
    </row>
    <row r="38" spans="1:12" ht="15.5" thickTop="1" thickBot="1">
      <c r="A38" s="239"/>
      <c r="B38" s="204"/>
      <c r="C38" s="204"/>
      <c r="D38" s="240"/>
      <c r="E38" s="241"/>
      <c r="F38" s="242"/>
      <c r="G38" s="200"/>
      <c r="H38" s="200"/>
      <c r="I38" s="243"/>
      <c r="J38" s="205"/>
      <c r="K38" s="206"/>
      <c r="L38" s="392"/>
    </row>
    <row r="39" spans="1:12" ht="15.5" thickTop="1" thickBot="1">
      <c r="A39" s="239"/>
      <c r="B39" s="204"/>
      <c r="C39" s="204"/>
      <c r="D39" s="240"/>
      <c r="E39" s="241"/>
      <c r="F39" s="242"/>
      <c r="G39" s="200"/>
      <c r="H39" s="200"/>
      <c r="I39" s="243"/>
      <c r="J39" s="205"/>
      <c r="K39" s="206"/>
      <c r="L39" s="392"/>
    </row>
    <row r="40" spans="1:12" ht="15.5" thickTop="1" thickBot="1">
      <c r="A40" s="239"/>
      <c r="B40" s="204"/>
      <c r="C40" s="204"/>
      <c r="D40" s="240"/>
      <c r="E40" s="241"/>
      <c r="F40" s="242"/>
      <c r="G40" s="200"/>
      <c r="H40" s="200"/>
      <c r="I40" s="243"/>
      <c r="J40" s="205"/>
      <c r="K40" s="206"/>
      <c r="L40" s="392"/>
    </row>
    <row r="41" spans="1:12" ht="15.5" thickTop="1" thickBot="1">
      <c r="A41" s="239"/>
      <c r="B41" s="204"/>
      <c r="C41" s="204"/>
      <c r="D41" s="240"/>
      <c r="E41" s="241"/>
      <c r="F41" s="242"/>
      <c r="G41" s="200"/>
      <c r="H41" s="200"/>
      <c r="I41" s="243"/>
      <c r="J41" s="205"/>
      <c r="K41" s="206"/>
      <c r="L41" s="392"/>
    </row>
    <row r="42" spans="1:12" ht="15.5" thickTop="1" thickBot="1">
      <c r="A42" s="239"/>
      <c r="B42" s="204"/>
      <c r="C42" s="204"/>
      <c r="D42" s="240"/>
      <c r="E42" s="241"/>
      <c r="F42" s="242"/>
      <c r="G42" s="200"/>
      <c r="H42" s="200"/>
      <c r="I42" s="243"/>
      <c r="J42" s="205"/>
      <c r="K42" s="206"/>
      <c r="L42" s="392"/>
    </row>
    <row r="43" spans="1:12" ht="15.5" thickTop="1" thickBot="1">
      <c r="A43" s="239"/>
      <c r="B43" s="204"/>
      <c r="C43" s="204"/>
      <c r="D43" s="240"/>
      <c r="E43" s="241"/>
      <c r="F43" s="242"/>
      <c r="G43" s="200"/>
      <c r="H43" s="200"/>
      <c r="I43" s="243"/>
      <c r="J43" s="205"/>
      <c r="K43" s="206"/>
      <c r="L43" s="392"/>
    </row>
    <row r="44" spans="1:12" ht="15.5" thickTop="1" thickBot="1">
      <c r="A44" s="239"/>
      <c r="B44" s="204"/>
      <c r="C44" s="204"/>
      <c r="D44" s="240"/>
      <c r="E44" s="241"/>
      <c r="F44" s="242"/>
      <c r="G44" s="200"/>
      <c r="H44" s="200"/>
      <c r="I44" s="243"/>
      <c r="J44" s="205"/>
      <c r="K44" s="206"/>
      <c r="L44" s="392"/>
    </row>
    <row r="45" spans="1:12" ht="15.5" thickTop="1" thickBot="1">
      <c r="A45" s="239"/>
      <c r="B45" s="204"/>
      <c r="C45" s="204"/>
      <c r="D45" s="240"/>
      <c r="E45" s="241"/>
      <c r="F45" s="242"/>
      <c r="G45" s="200"/>
      <c r="H45" s="200"/>
      <c r="I45" s="243"/>
      <c r="J45" s="205"/>
      <c r="K45" s="206"/>
      <c r="L45" s="392"/>
    </row>
    <row r="46" spans="1:12" ht="15.5" thickTop="1" thickBot="1">
      <c r="A46" s="239"/>
      <c r="B46" s="204"/>
      <c r="C46" s="204"/>
      <c r="D46" s="240"/>
      <c r="E46" s="241"/>
      <c r="F46" s="242"/>
      <c r="G46" s="200"/>
      <c r="H46" s="200"/>
      <c r="I46" s="243"/>
      <c r="J46" s="205"/>
      <c r="K46" s="206"/>
      <c r="L46" s="392"/>
    </row>
    <row r="47" spans="1:12" ht="15.5" thickTop="1" thickBot="1">
      <c r="A47" s="239"/>
      <c r="B47" s="204"/>
      <c r="C47" s="204"/>
      <c r="D47" s="240"/>
      <c r="E47" s="241"/>
      <c r="F47" s="242"/>
      <c r="G47" s="200"/>
      <c r="H47" s="200"/>
      <c r="I47" s="243"/>
      <c r="J47" s="205"/>
      <c r="K47" s="206"/>
      <c r="L47" s="392"/>
    </row>
    <row r="48" spans="1:12" ht="15.5" thickTop="1" thickBot="1">
      <c r="A48" s="239"/>
      <c r="B48" s="204"/>
      <c r="C48" s="204"/>
      <c r="D48" s="240"/>
      <c r="E48" s="241"/>
      <c r="F48" s="242"/>
      <c r="G48" s="200"/>
      <c r="H48" s="200"/>
      <c r="I48" s="243"/>
      <c r="J48" s="205"/>
      <c r="K48" s="206"/>
      <c r="L48" s="392"/>
    </row>
    <row r="49" spans="1:12" ht="15.5" thickTop="1" thickBot="1">
      <c r="A49" s="239"/>
      <c r="B49" s="204"/>
      <c r="C49" s="204"/>
      <c r="D49" s="240"/>
      <c r="E49" s="241"/>
      <c r="F49" s="242"/>
      <c r="G49" s="200"/>
      <c r="H49" s="200"/>
      <c r="I49" s="243"/>
      <c r="J49" s="205"/>
      <c r="K49" s="206"/>
      <c r="L49" s="392"/>
    </row>
    <row r="50" spans="1:12" ht="15.5" thickTop="1" thickBot="1">
      <c r="A50" s="239"/>
      <c r="B50" s="204"/>
      <c r="C50" s="204"/>
      <c r="D50" s="240"/>
      <c r="E50" s="241"/>
      <c r="F50" s="242"/>
      <c r="G50" s="200"/>
      <c r="H50" s="200"/>
      <c r="I50" s="243"/>
      <c r="J50" s="205"/>
      <c r="K50" s="206"/>
      <c r="L50" s="392"/>
    </row>
    <row r="51" spans="1:12" ht="15.5" thickTop="1" thickBot="1">
      <c r="A51" s="239"/>
      <c r="B51" s="204"/>
      <c r="C51" s="204"/>
      <c r="D51" s="240"/>
      <c r="E51" s="241"/>
      <c r="F51" s="242"/>
      <c r="G51" s="200"/>
      <c r="H51" s="200"/>
      <c r="I51" s="243"/>
      <c r="J51" s="205"/>
      <c r="K51" s="206"/>
      <c r="L51" s="392"/>
    </row>
    <row r="52" spans="1:12" ht="15.5" thickTop="1" thickBot="1">
      <c r="A52" s="239"/>
      <c r="B52" s="204"/>
      <c r="C52" s="204"/>
      <c r="D52" s="240"/>
      <c r="E52" s="241"/>
      <c r="F52" s="242"/>
      <c r="G52" s="200"/>
      <c r="H52" s="200"/>
      <c r="I52" s="243"/>
      <c r="J52" s="205"/>
      <c r="K52" s="206"/>
      <c r="L52" s="392"/>
    </row>
    <row r="53" spans="1:12" ht="15.5" thickTop="1" thickBot="1">
      <c r="A53" s="239"/>
      <c r="B53" s="204"/>
      <c r="C53" s="204"/>
      <c r="D53" s="240"/>
      <c r="E53" s="241"/>
      <c r="F53" s="242"/>
      <c r="G53" s="200"/>
      <c r="H53" s="200"/>
      <c r="I53" s="243"/>
      <c r="J53" s="205"/>
      <c r="K53" s="206"/>
      <c r="L53" s="392"/>
    </row>
    <row r="54" spans="1:12" ht="15.5" thickTop="1" thickBot="1">
      <c r="A54" s="239"/>
      <c r="B54" s="204"/>
      <c r="C54" s="204"/>
      <c r="D54" s="240"/>
      <c r="E54" s="241"/>
      <c r="F54" s="242"/>
      <c r="G54" s="200"/>
      <c r="H54" s="200"/>
      <c r="I54" s="243"/>
      <c r="J54" s="205"/>
      <c r="K54" s="206"/>
      <c r="L54" s="392"/>
    </row>
    <row r="55" spans="1:12" ht="15.5" thickTop="1" thickBot="1">
      <c r="A55" s="239"/>
      <c r="B55" s="204"/>
      <c r="C55" s="204"/>
      <c r="D55" s="240"/>
      <c r="E55" s="241"/>
      <c r="F55" s="242"/>
      <c r="G55" s="200"/>
      <c r="H55" s="200"/>
      <c r="I55" s="243"/>
      <c r="J55" s="205"/>
      <c r="K55" s="206"/>
      <c r="L55" s="392"/>
    </row>
    <row r="56" spans="1:12" ht="15.5" thickTop="1" thickBot="1">
      <c r="A56" s="239"/>
      <c r="B56" s="204"/>
      <c r="C56" s="204"/>
      <c r="D56" s="240"/>
      <c r="E56" s="241"/>
      <c r="F56" s="242"/>
      <c r="G56" s="200"/>
      <c r="H56" s="200"/>
      <c r="I56" s="243"/>
      <c r="J56" s="205"/>
      <c r="K56" s="206"/>
      <c r="L56" s="392"/>
    </row>
    <row r="57" spans="1:12" ht="15.5" thickTop="1" thickBot="1">
      <c r="A57" s="239"/>
      <c r="B57" s="204"/>
      <c r="C57" s="204"/>
      <c r="D57" s="240"/>
      <c r="E57" s="241"/>
      <c r="F57" s="242"/>
      <c r="G57" s="200"/>
      <c r="H57" s="200"/>
      <c r="I57" s="243"/>
      <c r="J57" s="205"/>
      <c r="K57" s="206"/>
      <c r="L57" s="392"/>
    </row>
    <row r="58" spans="1:12" ht="15.5" thickTop="1" thickBot="1">
      <c r="A58" s="239"/>
      <c r="B58" s="204"/>
      <c r="C58" s="204"/>
      <c r="D58" s="240"/>
      <c r="E58" s="241"/>
      <c r="F58" s="242"/>
      <c r="G58" s="200"/>
      <c r="H58" s="200"/>
      <c r="I58" s="243"/>
      <c r="J58" s="205"/>
      <c r="K58" s="206"/>
      <c r="L58" s="392"/>
    </row>
    <row r="59" spans="1:12" ht="15.5" thickTop="1" thickBot="1">
      <c r="A59" s="239"/>
      <c r="B59" s="204"/>
      <c r="C59" s="204"/>
      <c r="D59" s="240"/>
      <c r="E59" s="241"/>
      <c r="F59" s="242"/>
      <c r="G59" s="200"/>
      <c r="H59" s="200"/>
      <c r="I59" s="243"/>
      <c r="J59" s="205"/>
      <c r="K59" s="206"/>
      <c r="L59" s="392"/>
    </row>
    <row r="60" spans="1:12" ht="15.5" thickTop="1" thickBot="1">
      <c r="A60" s="239"/>
      <c r="B60" s="204"/>
      <c r="C60" s="204"/>
      <c r="D60" s="240"/>
      <c r="E60" s="241"/>
      <c r="F60" s="242"/>
      <c r="G60" s="200"/>
      <c r="H60" s="200"/>
      <c r="I60" s="243"/>
      <c r="J60" s="205"/>
      <c r="K60" s="206"/>
      <c r="L60" s="392"/>
    </row>
    <row r="61" spans="1:12" ht="15.5" thickTop="1" thickBot="1">
      <c r="A61" s="239"/>
      <c r="B61" s="204"/>
      <c r="C61" s="204"/>
      <c r="D61" s="240"/>
      <c r="E61" s="241"/>
      <c r="F61" s="242"/>
      <c r="G61" s="200"/>
      <c r="H61" s="200"/>
      <c r="I61" s="243"/>
      <c r="J61" s="205"/>
      <c r="K61" s="206"/>
      <c r="L61" s="392"/>
    </row>
    <row r="62" spans="1:12" ht="15.5" thickTop="1" thickBot="1">
      <c r="A62" s="239"/>
      <c r="B62" s="204"/>
      <c r="C62" s="204"/>
      <c r="D62" s="240"/>
      <c r="E62" s="241"/>
      <c r="F62" s="242"/>
      <c r="G62" s="200"/>
      <c r="H62" s="200"/>
      <c r="I62" s="243"/>
      <c r="J62" s="205"/>
      <c r="K62" s="206"/>
      <c r="L62" s="392"/>
    </row>
    <row r="63" spans="1:12" ht="15.5" thickTop="1" thickBot="1">
      <c r="A63" s="239"/>
      <c r="B63" s="204"/>
      <c r="C63" s="204"/>
      <c r="D63" s="240"/>
      <c r="E63" s="241"/>
      <c r="F63" s="242"/>
      <c r="G63" s="200"/>
      <c r="H63" s="200"/>
      <c r="I63" s="243"/>
      <c r="J63" s="205"/>
      <c r="K63" s="206"/>
      <c r="L63" s="392"/>
    </row>
    <row r="64" spans="1:12" ht="15.5" thickTop="1" thickBot="1">
      <c r="A64" s="239"/>
      <c r="B64" s="204"/>
      <c r="C64" s="204"/>
      <c r="D64" s="240"/>
      <c r="E64" s="241"/>
      <c r="F64" s="242"/>
      <c r="G64" s="200"/>
      <c r="H64" s="200"/>
      <c r="I64" s="243"/>
      <c r="J64" s="205"/>
      <c r="K64" s="206"/>
      <c r="L64" s="392"/>
    </row>
    <row r="65" spans="1:12" ht="15.5" thickTop="1" thickBot="1">
      <c r="A65" s="239"/>
      <c r="B65" s="204"/>
      <c r="C65" s="204"/>
      <c r="D65" s="240"/>
      <c r="E65" s="241"/>
      <c r="F65" s="242"/>
      <c r="G65" s="200"/>
      <c r="H65" s="200"/>
      <c r="I65" s="243"/>
      <c r="J65" s="205"/>
      <c r="K65" s="206"/>
      <c r="L65" s="392"/>
    </row>
    <row r="66" spans="1:12" ht="15.5" thickTop="1" thickBot="1">
      <c r="A66" s="239"/>
      <c r="B66" s="204"/>
      <c r="C66" s="204"/>
      <c r="D66" s="240"/>
      <c r="E66" s="241"/>
      <c r="F66" s="242"/>
      <c r="G66" s="200"/>
      <c r="H66" s="200"/>
      <c r="I66" s="243"/>
      <c r="J66" s="205"/>
      <c r="K66" s="206"/>
      <c r="L66" s="392"/>
    </row>
    <row r="67" spans="1:12" ht="15.5" thickTop="1" thickBot="1">
      <c r="A67" s="239"/>
      <c r="B67" s="204"/>
      <c r="C67" s="204"/>
      <c r="D67" s="240"/>
      <c r="E67" s="241"/>
      <c r="F67" s="242"/>
      <c r="G67" s="200"/>
      <c r="H67" s="200"/>
      <c r="I67" s="243"/>
      <c r="J67" s="205"/>
      <c r="K67" s="206"/>
      <c r="L67" s="392"/>
    </row>
    <row r="68" spans="1:12" ht="15.5" thickTop="1" thickBot="1">
      <c r="A68" s="239"/>
      <c r="B68" s="204"/>
      <c r="C68" s="204"/>
      <c r="D68" s="240"/>
      <c r="E68" s="241"/>
      <c r="F68" s="242"/>
      <c r="G68" s="200"/>
      <c r="H68" s="200"/>
      <c r="I68" s="243"/>
      <c r="J68" s="205"/>
      <c r="K68" s="206"/>
      <c r="L68" s="392"/>
    </row>
    <row r="69" spans="1:12" ht="15.5" thickTop="1" thickBot="1">
      <c r="A69" s="239"/>
      <c r="B69" s="204"/>
      <c r="C69" s="204"/>
      <c r="D69" s="240"/>
      <c r="E69" s="241"/>
      <c r="F69" s="242"/>
      <c r="G69" s="200"/>
      <c r="H69" s="200"/>
      <c r="I69" s="243"/>
      <c r="J69" s="205"/>
      <c r="K69" s="206"/>
      <c r="L69" s="392"/>
    </row>
    <row r="70" spans="1:12" ht="15.5" thickTop="1" thickBot="1">
      <c r="A70" s="239"/>
      <c r="B70" s="204"/>
      <c r="C70" s="204"/>
      <c r="D70" s="240"/>
      <c r="E70" s="241"/>
      <c r="F70" s="242"/>
      <c r="G70" s="200"/>
      <c r="H70" s="200"/>
      <c r="I70" s="243"/>
      <c r="J70" s="205"/>
      <c r="K70" s="206"/>
      <c r="L70" s="392"/>
    </row>
    <row r="71" spans="1:12" ht="15.5" thickTop="1" thickBot="1">
      <c r="A71" s="239"/>
      <c r="B71" s="204"/>
      <c r="C71" s="204"/>
      <c r="D71" s="240"/>
      <c r="E71" s="241"/>
      <c r="F71" s="242"/>
      <c r="G71" s="200"/>
      <c r="H71" s="200"/>
      <c r="I71" s="243"/>
      <c r="J71" s="205"/>
      <c r="K71" s="206"/>
      <c r="L71" s="392"/>
    </row>
    <row r="72" spans="1:12" ht="15.5" thickTop="1" thickBot="1">
      <c r="A72" s="239"/>
      <c r="B72" s="204"/>
      <c r="C72" s="204"/>
      <c r="D72" s="240"/>
      <c r="E72" s="241"/>
      <c r="F72" s="242"/>
      <c r="G72" s="200"/>
      <c r="H72" s="200"/>
      <c r="I72" s="243"/>
      <c r="J72" s="205"/>
      <c r="K72" s="206"/>
      <c r="L72" s="392"/>
    </row>
    <row r="73" spans="1:12" ht="15.5" thickTop="1" thickBot="1">
      <c r="A73" s="239"/>
      <c r="B73" s="204"/>
      <c r="C73" s="204"/>
      <c r="D73" s="240"/>
      <c r="E73" s="241"/>
      <c r="F73" s="242"/>
      <c r="G73" s="200"/>
      <c r="H73" s="200"/>
      <c r="I73" s="243"/>
      <c r="J73" s="205"/>
      <c r="K73" s="206"/>
      <c r="L73" s="392"/>
    </row>
    <row r="74" spans="1:12" ht="15.5" thickTop="1" thickBot="1">
      <c r="A74" s="239"/>
      <c r="B74" s="204"/>
      <c r="C74" s="204"/>
      <c r="D74" s="240"/>
      <c r="E74" s="241"/>
      <c r="F74" s="242"/>
      <c r="G74" s="200"/>
      <c r="H74" s="200"/>
      <c r="I74" s="243"/>
      <c r="J74" s="205"/>
      <c r="K74" s="206"/>
      <c r="L74" s="392"/>
    </row>
    <row r="75" spans="1:12" ht="15.5" thickTop="1" thickBot="1">
      <c r="A75" s="239"/>
      <c r="B75" s="204"/>
      <c r="C75" s="204"/>
      <c r="D75" s="240"/>
      <c r="E75" s="241"/>
      <c r="F75" s="242"/>
      <c r="G75" s="200"/>
      <c r="H75" s="200"/>
      <c r="I75" s="243"/>
      <c r="J75" s="205"/>
      <c r="K75" s="206"/>
      <c r="L75" s="392"/>
    </row>
    <row r="76" spans="1:12" ht="15.5" thickTop="1" thickBot="1">
      <c r="A76" s="239"/>
      <c r="B76" s="204"/>
      <c r="C76" s="204"/>
      <c r="D76" s="240"/>
      <c r="E76" s="241"/>
      <c r="F76" s="242"/>
      <c r="G76" s="200"/>
      <c r="H76" s="200"/>
      <c r="I76" s="243"/>
      <c r="J76" s="205"/>
      <c r="K76" s="206"/>
      <c r="L76" s="392"/>
    </row>
    <row r="77" spans="1:12" ht="15.5" thickTop="1" thickBot="1">
      <c r="A77" s="239"/>
      <c r="B77" s="204"/>
      <c r="C77" s="204"/>
      <c r="D77" s="240"/>
      <c r="E77" s="241"/>
      <c r="F77" s="242"/>
      <c r="G77" s="200"/>
      <c r="H77" s="200"/>
      <c r="I77" s="243"/>
      <c r="J77" s="205"/>
      <c r="K77" s="206"/>
      <c r="L77" s="392"/>
    </row>
    <row r="78" spans="1:12" ht="15.5" thickTop="1" thickBot="1">
      <c r="A78" s="239"/>
      <c r="B78" s="204"/>
      <c r="C78" s="204"/>
      <c r="D78" s="240"/>
      <c r="E78" s="241"/>
      <c r="F78" s="242"/>
      <c r="G78" s="200"/>
      <c r="H78" s="200"/>
      <c r="I78" s="243"/>
      <c r="J78" s="205"/>
      <c r="K78" s="206"/>
      <c r="L78" s="392"/>
    </row>
    <row r="79" spans="1:12" ht="15.5" thickTop="1" thickBot="1">
      <c r="A79" s="239"/>
      <c r="B79" s="204"/>
      <c r="C79" s="204"/>
      <c r="D79" s="240"/>
      <c r="E79" s="241"/>
      <c r="F79" s="242"/>
      <c r="G79" s="200"/>
      <c r="H79" s="200"/>
      <c r="I79" s="243"/>
      <c r="J79" s="205"/>
      <c r="K79" s="206"/>
      <c r="L79" s="392"/>
    </row>
    <row r="80" spans="1:12" ht="15.5" thickTop="1" thickBot="1">
      <c r="A80" s="239"/>
      <c r="B80" s="204"/>
      <c r="C80" s="204"/>
      <c r="D80" s="240"/>
      <c r="E80" s="241"/>
      <c r="F80" s="242"/>
      <c r="G80" s="200"/>
      <c r="H80" s="200"/>
      <c r="I80" s="243"/>
      <c r="J80" s="205"/>
      <c r="K80" s="206"/>
      <c r="L80" s="392"/>
    </row>
    <row r="81" spans="1:12" ht="15.5" thickTop="1" thickBot="1">
      <c r="A81" s="239"/>
      <c r="B81" s="204"/>
      <c r="C81" s="204"/>
      <c r="D81" s="240"/>
      <c r="E81" s="241"/>
      <c r="F81" s="242"/>
      <c r="G81" s="200"/>
      <c r="H81" s="200"/>
      <c r="I81" s="243"/>
      <c r="J81" s="205"/>
      <c r="K81" s="206"/>
      <c r="L81" s="392"/>
    </row>
    <row r="82" spans="1:12" ht="15.5" thickTop="1" thickBot="1">
      <c r="A82" s="239"/>
      <c r="B82" s="204"/>
      <c r="C82" s="204"/>
      <c r="D82" s="240"/>
      <c r="E82" s="241"/>
      <c r="F82" s="242"/>
      <c r="G82" s="200"/>
      <c r="H82" s="200"/>
      <c r="I82" s="243"/>
      <c r="J82" s="205"/>
      <c r="K82" s="206"/>
      <c r="L82" s="392"/>
    </row>
    <row r="83" spans="1:12" ht="15.5" thickTop="1" thickBot="1">
      <c r="A83" s="239"/>
      <c r="B83" s="204"/>
      <c r="C83" s="204"/>
      <c r="D83" s="240"/>
      <c r="E83" s="241"/>
      <c r="F83" s="242"/>
      <c r="G83" s="200"/>
      <c r="H83" s="200"/>
      <c r="I83" s="243"/>
      <c r="J83" s="205"/>
      <c r="K83" s="206"/>
      <c r="L83" s="392"/>
    </row>
    <row r="84" spans="1:12" ht="15.5" thickTop="1" thickBot="1">
      <c r="A84" s="239"/>
      <c r="B84" s="204"/>
      <c r="C84" s="204"/>
      <c r="D84" s="240"/>
      <c r="E84" s="241"/>
      <c r="F84" s="242"/>
      <c r="G84" s="200"/>
      <c r="H84" s="200"/>
      <c r="I84" s="243"/>
      <c r="J84" s="205"/>
      <c r="K84" s="206"/>
      <c r="L84" s="392"/>
    </row>
    <row r="85" spans="1:12" ht="15.5" thickTop="1" thickBot="1">
      <c r="A85" s="239"/>
      <c r="B85" s="204"/>
      <c r="C85" s="204"/>
      <c r="D85" s="240"/>
      <c r="E85" s="241"/>
      <c r="F85" s="242"/>
      <c r="G85" s="200"/>
      <c r="H85" s="200"/>
      <c r="I85" s="243"/>
      <c r="J85" s="205"/>
      <c r="K85" s="206"/>
      <c r="L85" s="392"/>
    </row>
    <row r="86" spans="1:12" ht="15.5" thickTop="1" thickBot="1">
      <c r="A86" s="239"/>
      <c r="B86" s="204"/>
      <c r="C86" s="204"/>
      <c r="D86" s="240"/>
      <c r="E86" s="241"/>
      <c r="F86" s="242"/>
      <c r="G86" s="200"/>
      <c r="H86" s="200"/>
      <c r="I86" s="243"/>
      <c r="J86" s="205"/>
      <c r="K86" s="206"/>
      <c r="L86" s="392"/>
    </row>
    <row r="87" spans="1:12" ht="15.5" thickTop="1" thickBot="1">
      <c r="A87" s="239"/>
      <c r="B87" s="204"/>
      <c r="C87" s="204"/>
      <c r="D87" s="240"/>
      <c r="E87" s="241"/>
      <c r="F87" s="242"/>
      <c r="G87" s="200"/>
      <c r="H87" s="200"/>
      <c r="I87" s="243"/>
      <c r="J87" s="205"/>
      <c r="K87" s="206"/>
      <c r="L87" s="392"/>
    </row>
    <row r="88" spans="1:12" ht="15.5" thickTop="1" thickBot="1">
      <c r="A88" s="239"/>
      <c r="B88" s="204"/>
      <c r="C88" s="204"/>
      <c r="D88" s="240"/>
      <c r="E88" s="241"/>
      <c r="F88" s="242"/>
      <c r="G88" s="200"/>
      <c r="H88" s="200"/>
      <c r="I88" s="243"/>
      <c r="J88" s="205"/>
      <c r="K88" s="206"/>
      <c r="L88" s="392"/>
    </row>
    <row r="89" spans="1:12" ht="15.5" thickTop="1" thickBot="1">
      <c r="A89" s="239"/>
      <c r="B89" s="204"/>
      <c r="C89" s="204"/>
      <c r="D89" s="240"/>
      <c r="E89" s="241"/>
      <c r="F89" s="242"/>
      <c r="G89" s="200"/>
      <c r="H89" s="200"/>
      <c r="I89" s="243"/>
      <c r="J89" s="205"/>
      <c r="K89" s="206"/>
      <c r="L89" s="392"/>
    </row>
    <row r="90" spans="1:12" ht="15.5" thickTop="1" thickBot="1">
      <c r="A90" s="239"/>
      <c r="B90" s="204"/>
      <c r="C90" s="204"/>
      <c r="D90" s="240"/>
      <c r="E90" s="241"/>
      <c r="F90" s="242"/>
      <c r="G90" s="200"/>
      <c r="H90" s="200"/>
      <c r="I90" s="243"/>
      <c r="J90" s="205"/>
      <c r="K90" s="206"/>
      <c r="L90" s="392"/>
    </row>
    <row r="91" spans="1:12" ht="15.5" thickTop="1" thickBot="1">
      <c r="A91" s="239"/>
      <c r="B91" s="204"/>
      <c r="C91" s="204"/>
      <c r="D91" s="240"/>
      <c r="E91" s="241"/>
      <c r="F91" s="242"/>
      <c r="G91" s="200"/>
      <c r="H91" s="200"/>
      <c r="I91" s="243"/>
      <c r="J91" s="205"/>
      <c r="K91" s="206"/>
      <c r="L91" s="392"/>
    </row>
    <row r="92" spans="1:12" ht="15.5" thickTop="1" thickBot="1">
      <c r="A92" s="239"/>
      <c r="B92" s="204"/>
      <c r="C92" s="204"/>
      <c r="D92" s="240"/>
      <c r="E92" s="241"/>
      <c r="F92" s="242"/>
      <c r="G92" s="200"/>
      <c r="H92" s="200"/>
      <c r="I92" s="243"/>
      <c r="J92" s="205"/>
      <c r="K92" s="206"/>
      <c r="L92" s="392"/>
    </row>
    <row r="93" spans="1:12" ht="15.5" thickTop="1" thickBot="1">
      <c r="A93" s="239"/>
      <c r="B93" s="204"/>
      <c r="C93" s="204"/>
      <c r="D93" s="240"/>
      <c r="E93" s="241"/>
      <c r="F93" s="242"/>
      <c r="G93" s="200"/>
      <c r="H93" s="200"/>
      <c r="I93" s="243"/>
      <c r="J93" s="205"/>
      <c r="K93" s="206"/>
      <c r="L93" s="392"/>
    </row>
    <row r="94" spans="1:12" ht="15.5" thickTop="1" thickBot="1">
      <c r="A94" s="239"/>
      <c r="B94" s="204"/>
      <c r="C94" s="204"/>
      <c r="D94" s="240"/>
      <c r="E94" s="241"/>
      <c r="F94" s="242"/>
      <c r="G94" s="200"/>
      <c r="H94" s="200"/>
      <c r="I94" s="243"/>
      <c r="J94" s="205"/>
      <c r="K94" s="206"/>
      <c r="L94" s="392"/>
    </row>
    <row r="95" spans="1:12" ht="15.5" thickTop="1" thickBot="1">
      <c r="A95" s="239"/>
      <c r="B95" s="204"/>
      <c r="C95" s="204"/>
      <c r="D95" s="240"/>
      <c r="E95" s="241"/>
      <c r="F95" s="242"/>
      <c r="G95" s="200"/>
      <c r="H95" s="200"/>
      <c r="I95" s="243"/>
      <c r="J95" s="205"/>
      <c r="K95" s="206"/>
      <c r="L95" s="392"/>
    </row>
    <row r="96" spans="1:12" ht="15.5" thickTop="1" thickBot="1">
      <c r="A96" s="239"/>
      <c r="B96" s="204"/>
      <c r="C96" s="204"/>
      <c r="D96" s="240"/>
      <c r="E96" s="241"/>
      <c r="F96" s="242"/>
      <c r="G96" s="200"/>
      <c r="H96" s="200"/>
      <c r="I96" s="243"/>
      <c r="J96" s="205"/>
      <c r="K96" s="206"/>
      <c r="L96" s="392"/>
    </row>
    <row r="97" spans="1:12" ht="15.5" thickTop="1" thickBot="1">
      <c r="A97" s="239"/>
      <c r="B97" s="204"/>
      <c r="C97" s="204"/>
      <c r="D97" s="240"/>
      <c r="E97" s="241"/>
      <c r="F97" s="242"/>
      <c r="G97" s="200"/>
      <c r="H97" s="200"/>
      <c r="I97" s="243"/>
      <c r="J97" s="205"/>
      <c r="K97" s="206"/>
      <c r="L97" s="392"/>
    </row>
    <row r="98" spans="1:12" ht="15.5" thickTop="1" thickBot="1">
      <c r="A98" s="239"/>
      <c r="B98" s="204"/>
      <c r="C98" s="204"/>
      <c r="D98" s="240"/>
      <c r="E98" s="241"/>
      <c r="F98" s="242"/>
      <c r="G98" s="200"/>
      <c r="H98" s="200"/>
      <c r="I98" s="243"/>
      <c r="J98" s="205"/>
      <c r="K98" s="206"/>
      <c r="L98" s="392"/>
    </row>
    <row r="99" spans="1:12" ht="15.5" thickTop="1" thickBot="1">
      <c r="A99" s="239"/>
      <c r="B99" s="204"/>
      <c r="C99" s="204"/>
      <c r="D99" s="240"/>
      <c r="E99" s="241"/>
      <c r="F99" s="242"/>
      <c r="G99" s="200"/>
      <c r="H99" s="200"/>
      <c r="I99" s="243"/>
      <c r="J99" s="205"/>
      <c r="K99" s="206"/>
      <c r="L99" s="392"/>
    </row>
    <row r="100" spans="1:12" ht="15.5" thickTop="1" thickBot="1">
      <c r="A100" s="239"/>
      <c r="B100" s="204"/>
      <c r="C100" s="204"/>
      <c r="D100" s="240"/>
      <c r="E100" s="241"/>
      <c r="F100" s="242"/>
      <c r="G100" s="200"/>
      <c r="H100" s="200"/>
      <c r="I100" s="243"/>
      <c r="J100" s="205"/>
      <c r="K100" s="206"/>
      <c r="L100" s="392"/>
    </row>
    <row r="101" spans="1:12" ht="15.5" thickTop="1" thickBot="1">
      <c r="A101" s="239"/>
      <c r="B101" s="204"/>
      <c r="C101" s="204"/>
      <c r="D101" s="240"/>
      <c r="E101" s="241"/>
      <c r="F101" s="242"/>
      <c r="G101" s="200"/>
      <c r="H101" s="200"/>
      <c r="I101" s="243"/>
      <c r="J101" s="205"/>
      <c r="K101" s="206"/>
      <c r="L101" s="392"/>
    </row>
    <row r="102" spans="1:12" ht="15.5" thickTop="1" thickBot="1">
      <c r="A102" s="239"/>
      <c r="B102" s="204"/>
      <c r="C102" s="204"/>
      <c r="D102" s="240"/>
      <c r="E102" s="241"/>
      <c r="F102" s="242"/>
      <c r="G102" s="200"/>
      <c r="H102" s="200"/>
      <c r="I102" s="243"/>
      <c r="J102" s="205"/>
      <c r="K102" s="206"/>
      <c r="L102" s="392"/>
    </row>
    <row r="103" spans="1:12" ht="15.5" thickTop="1" thickBot="1">
      <c r="A103" s="239"/>
      <c r="B103" s="204"/>
      <c r="C103" s="204"/>
      <c r="D103" s="240"/>
      <c r="E103" s="241"/>
      <c r="F103" s="242"/>
      <c r="G103" s="200"/>
      <c r="H103" s="200"/>
      <c r="I103" s="243"/>
      <c r="J103" s="205"/>
      <c r="K103" s="206"/>
      <c r="L103" s="392"/>
    </row>
    <row r="104" spans="1:12" ht="15.5" thickTop="1" thickBot="1">
      <c r="A104" s="239"/>
      <c r="B104" s="204"/>
      <c r="C104" s="204"/>
      <c r="D104" s="240"/>
      <c r="E104" s="241"/>
      <c r="F104" s="242"/>
      <c r="G104" s="200"/>
      <c r="H104" s="200"/>
      <c r="I104" s="243"/>
      <c r="J104" s="205"/>
      <c r="K104" s="206"/>
      <c r="L104" s="392"/>
    </row>
    <row r="105" spans="1:12" ht="15.5" thickTop="1" thickBot="1">
      <c r="A105" s="239"/>
      <c r="B105" s="204"/>
      <c r="C105" s="204"/>
      <c r="D105" s="240"/>
      <c r="E105" s="241"/>
      <c r="F105" s="242"/>
      <c r="G105" s="200"/>
      <c r="H105" s="200"/>
      <c r="I105" s="243"/>
      <c r="J105" s="205"/>
      <c r="K105" s="206"/>
      <c r="L105" s="392"/>
    </row>
    <row r="106" spans="1:12" ht="15.5" thickTop="1" thickBot="1">
      <c r="A106" s="239"/>
      <c r="B106" s="204"/>
      <c r="C106" s="204"/>
      <c r="D106" s="240"/>
      <c r="E106" s="241"/>
      <c r="F106" s="242"/>
      <c r="G106" s="200"/>
      <c r="H106" s="200"/>
      <c r="I106" s="243"/>
      <c r="J106" s="205"/>
      <c r="K106" s="206"/>
      <c r="L106" s="392"/>
    </row>
    <row r="107" spans="1:12" ht="15.5" thickTop="1" thickBot="1">
      <c r="A107" s="239"/>
      <c r="B107" s="204"/>
      <c r="C107" s="204"/>
      <c r="D107" s="240"/>
      <c r="E107" s="241"/>
      <c r="F107" s="242"/>
      <c r="G107" s="200"/>
      <c r="H107" s="200"/>
      <c r="I107" s="243"/>
      <c r="J107" s="205"/>
      <c r="K107" s="206"/>
      <c r="L107" s="392"/>
    </row>
    <row r="108" spans="1:12" ht="15.5" thickTop="1" thickBot="1">
      <c r="A108" s="239"/>
      <c r="B108" s="204"/>
      <c r="C108" s="204"/>
      <c r="D108" s="240"/>
      <c r="E108" s="241"/>
      <c r="F108" s="242"/>
      <c r="G108" s="200"/>
      <c r="H108" s="200"/>
      <c r="I108" s="243"/>
      <c r="J108" s="205"/>
      <c r="K108" s="206"/>
      <c r="L108" s="392"/>
    </row>
    <row r="109" spans="1:12" ht="15.5" thickTop="1" thickBot="1">
      <c r="A109" s="239"/>
      <c r="B109" s="204"/>
      <c r="C109" s="204"/>
      <c r="D109" s="240"/>
      <c r="E109" s="241"/>
      <c r="F109" s="242"/>
      <c r="G109" s="200"/>
      <c r="H109" s="200"/>
      <c r="I109" s="243"/>
      <c r="J109" s="205"/>
      <c r="K109" s="206"/>
      <c r="L109" s="392"/>
    </row>
    <row r="110" spans="1:12" ht="15.5" thickTop="1" thickBot="1">
      <c r="A110" s="239"/>
      <c r="B110" s="204"/>
      <c r="C110" s="204"/>
      <c r="D110" s="240"/>
      <c r="E110" s="241"/>
      <c r="F110" s="242"/>
      <c r="G110" s="200"/>
      <c r="H110" s="200"/>
      <c r="I110" s="243"/>
      <c r="J110" s="205"/>
      <c r="K110" s="206"/>
      <c r="L110" s="392"/>
    </row>
    <row r="111" spans="1:12" ht="15.5" thickTop="1" thickBot="1">
      <c r="A111" s="239"/>
      <c r="B111" s="204"/>
      <c r="C111" s="204"/>
      <c r="D111" s="240"/>
      <c r="E111" s="241"/>
      <c r="F111" s="242"/>
      <c r="G111" s="200"/>
      <c r="H111" s="200"/>
      <c r="I111" s="243"/>
      <c r="J111" s="205"/>
      <c r="K111" s="206"/>
      <c r="L111" s="392"/>
    </row>
    <row r="112" spans="1:12" ht="15.5" thickTop="1" thickBot="1">
      <c r="A112" s="239"/>
      <c r="B112" s="204"/>
      <c r="C112" s="204"/>
      <c r="D112" s="240"/>
      <c r="E112" s="241"/>
      <c r="F112" s="242"/>
      <c r="G112" s="200"/>
      <c r="H112" s="200"/>
      <c r="I112" s="243"/>
      <c r="J112" s="205"/>
      <c r="K112" s="206"/>
      <c r="L112" s="392"/>
    </row>
    <row r="113" spans="1:12" ht="15.5" thickTop="1" thickBot="1">
      <c r="A113" s="239"/>
      <c r="B113" s="204"/>
      <c r="C113" s="204"/>
      <c r="D113" s="240"/>
      <c r="E113" s="241"/>
      <c r="F113" s="242"/>
      <c r="G113" s="200"/>
      <c r="H113" s="200"/>
      <c r="I113" s="243"/>
      <c r="J113" s="205"/>
      <c r="K113" s="206"/>
      <c r="L113" s="392"/>
    </row>
    <row r="114" spans="1:12" ht="15.5" thickTop="1" thickBot="1">
      <c r="A114" s="239"/>
      <c r="B114" s="204"/>
      <c r="C114" s="204"/>
      <c r="D114" s="240"/>
      <c r="E114" s="241"/>
      <c r="F114" s="242"/>
      <c r="G114" s="200"/>
      <c r="H114" s="200"/>
      <c r="I114" s="243"/>
      <c r="J114" s="205"/>
      <c r="K114" s="206"/>
      <c r="L114" s="392"/>
    </row>
    <row r="115" spans="1:12" ht="15.5" thickTop="1" thickBot="1">
      <c r="A115" s="239"/>
      <c r="B115" s="204"/>
      <c r="C115" s="204"/>
      <c r="D115" s="240"/>
      <c r="E115" s="241"/>
      <c r="F115" s="242"/>
      <c r="G115" s="200"/>
      <c r="H115" s="200"/>
      <c r="I115" s="243"/>
      <c r="J115" s="205"/>
      <c r="K115" s="206"/>
      <c r="L115" s="392"/>
    </row>
    <row r="116" spans="1:12" ht="15.5" thickTop="1" thickBot="1">
      <c r="A116" s="239"/>
      <c r="B116" s="204"/>
      <c r="C116" s="204"/>
      <c r="D116" s="240"/>
      <c r="E116" s="241"/>
      <c r="F116" s="242"/>
      <c r="G116" s="200"/>
      <c r="H116" s="200"/>
      <c r="I116" s="243"/>
      <c r="J116" s="205"/>
      <c r="K116" s="206"/>
      <c r="L116" s="392"/>
    </row>
    <row r="117" spans="1:12" ht="15.5" thickTop="1" thickBot="1">
      <c r="A117" s="239"/>
      <c r="B117" s="204"/>
      <c r="C117" s="204"/>
      <c r="D117" s="240"/>
      <c r="E117" s="241"/>
      <c r="F117" s="242"/>
      <c r="G117" s="200"/>
      <c r="H117" s="200"/>
      <c r="I117" s="243"/>
      <c r="J117" s="205"/>
      <c r="K117" s="206"/>
      <c r="L117" s="392"/>
    </row>
    <row r="118" spans="1:12" ht="15.5" thickTop="1" thickBot="1">
      <c r="A118" s="239"/>
      <c r="B118" s="204"/>
      <c r="C118" s="204"/>
      <c r="D118" s="240"/>
      <c r="E118" s="241"/>
      <c r="F118" s="242"/>
      <c r="G118" s="200"/>
      <c r="H118" s="200"/>
      <c r="I118" s="243"/>
      <c r="J118" s="205"/>
      <c r="K118" s="206"/>
      <c r="L118" s="392"/>
    </row>
    <row r="119" spans="1:12" ht="15.5" thickTop="1" thickBot="1">
      <c r="A119" s="239"/>
      <c r="B119" s="204"/>
      <c r="C119" s="204"/>
      <c r="D119" s="240"/>
      <c r="E119" s="241"/>
      <c r="F119" s="242"/>
      <c r="G119" s="200"/>
      <c r="H119" s="200"/>
      <c r="I119" s="243"/>
      <c r="J119" s="205"/>
      <c r="K119" s="206"/>
      <c r="L119" s="392"/>
    </row>
    <row r="120" spans="1:12" ht="15.5" thickTop="1" thickBot="1">
      <c r="A120" s="239"/>
      <c r="B120" s="204"/>
      <c r="C120" s="204"/>
      <c r="D120" s="240"/>
      <c r="E120" s="241"/>
      <c r="F120" s="242"/>
      <c r="G120" s="200"/>
      <c r="H120" s="200"/>
      <c r="I120" s="243"/>
      <c r="J120" s="205"/>
      <c r="K120" s="206"/>
      <c r="L120" s="392"/>
    </row>
    <row r="121" spans="1:12" ht="15.5" thickTop="1" thickBot="1">
      <c r="A121" s="239"/>
      <c r="B121" s="204"/>
      <c r="C121" s="204"/>
      <c r="D121" s="240"/>
      <c r="E121" s="241"/>
      <c r="F121" s="242"/>
      <c r="G121" s="200"/>
      <c r="H121" s="200"/>
      <c r="I121" s="243"/>
      <c r="J121" s="205"/>
      <c r="K121" s="206"/>
      <c r="L121" s="392"/>
    </row>
    <row r="122" spans="1:12" ht="15.5" thickTop="1" thickBot="1">
      <c r="A122" s="239"/>
      <c r="B122" s="204"/>
      <c r="C122" s="204"/>
      <c r="D122" s="240"/>
      <c r="E122" s="241"/>
      <c r="F122" s="242"/>
      <c r="G122" s="200"/>
      <c r="H122" s="200"/>
      <c r="I122" s="243"/>
      <c r="J122" s="205"/>
      <c r="K122" s="206"/>
      <c r="L122" s="392"/>
    </row>
    <row r="123" spans="1:12" ht="15.5" thickTop="1" thickBot="1">
      <c r="A123" s="239"/>
      <c r="B123" s="204"/>
      <c r="C123" s="204"/>
      <c r="D123" s="240"/>
      <c r="E123" s="241"/>
      <c r="F123" s="242"/>
      <c r="G123" s="200"/>
      <c r="H123" s="200"/>
      <c r="I123" s="243"/>
      <c r="J123" s="205"/>
      <c r="K123" s="206"/>
      <c r="L123" s="392"/>
    </row>
    <row r="124" spans="1:12" ht="15.5" thickTop="1" thickBot="1">
      <c r="A124" s="239"/>
      <c r="B124" s="204"/>
      <c r="C124" s="204"/>
      <c r="D124" s="240"/>
      <c r="E124" s="241"/>
      <c r="F124" s="242"/>
      <c r="G124" s="200"/>
      <c r="H124" s="200"/>
      <c r="I124" s="243"/>
      <c r="J124" s="205"/>
      <c r="K124" s="206"/>
      <c r="L124" s="392"/>
    </row>
    <row r="125" spans="1:12" ht="15.5" thickTop="1" thickBot="1">
      <c r="A125" s="239"/>
      <c r="B125" s="204"/>
      <c r="C125" s="204"/>
      <c r="D125" s="240"/>
      <c r="E125" s="241"/>
      <c r="F125" s="242"/>
      <c r="G125" s="200"/>
      <c r="H125" s="200"/>
      <c r="I125" s="243"/>
      <c r="J125" s="205"/>
      <c r="K125" s="206"/>
      <c r="L125" s="392"/>
    </row>
    <row r="126" spans="1:12" ht="15.5" thickTop="1" thickBot="1">
      <c r="A126" s="239"/>
      <c r="B126" s="204"/>
      <c r="C126" s="204"/>
      <c r="D126" s="240"/>
      <c r="E126" s="241"/>
      <c r="F126" s="242"/>
      <c r="G126" s="200"/>
      <c r="H126" s="200"/>
      <c r="I126" s="243"/>
      <c r="J126" s="205"/>
      <c r="K126" s="206"/>
      <c r="L126" s="392"/>
    </row>
    <row r="127" spans="1:12" ht="15.5" thickTop="1" thickBot="1">
      <c r="A127" s="239"/>
      <c r="B127" s="204"/>
      <c r="C127" s="204"/>
      <c r="D127" s="240"/>
      <c r="E127" s="241"/>
      <c r="F127" s="242"/>
      <c r="G127" s="200"/>
      <c r="H127" s="200"/>
      <c r="I127" s="243"/>
      <c r="J127" s="205"/>
      <c r="K127" s="206"/>
      <c r="L127" s="392"/>
    </row>
    <row r="128" spans="1:12" ht="15.5" thickTop="1" thickBot="1">
      <c r="A128" s="239"/>
      <c r="B128" s="204"/>
      <c r="C128" s="204"/>
      <c r="D128" s="240"/>
      <c r="E128" s="241"/>
      <c r="F128" s="242"/>
      <c r="G128" s="200"/>
      <c r="H128" s="200"/>
      <c r="I128" s="243"/>
      <c r="J128" s="205"/>
      <c r="K128" s="206"/>
      <c r="L128" s="392"/>
    </row>
    <row r="129" spans="1:12" ht="15.5" thickTop="1" thickBot="1">
      <c r="A129" s="239"/>
      <c r="B129" s="204"/>
      <c r="C129" s="204"/>
      <c r="D129" s="240"/>
      <c r="E129" s="241"/>
      <c r="F129" s="242"/>
      <c r="G129" s="200"/>
      <c r="H129" s="200"/>
      <c r="I129" s="243"/>
      <c r="J129" s="205"/>
      <c r="K129" s="206"/>
      <c r="L129" s="392"/>
    </row>
    <row r="130" spans="1:12" ht="15.5" thickTop="1" thickBot="1">
      <c r="A130" s="239"/>
      <c r="B130" s="204"/>
      <c r="C130" s="204"/>
      <c r="D130" s="240"/>
      <c r="E130" s="241"/>
      <c r="F130" s="242"/>
      <c r="G130" s="200"/>
      <c r="H130" s="200"/>
      <c r="I130" s="243"/>
      <c r="J130" s="205"/>
      <c r="K130" s="206"/>
      <c r="L130" s="392"/>
    </row>
    <row r="131" spans="1:12" ht="15.5" thickTop="1" thickBot="1">
      <c r="A131" s="239"/>
      <c r="B131" s="204"/>
      <c r="C131" s="204"/>
      <c r="D131" s="240"/>
      <c r="E131" s="241"/>
      <c r="F131" s="242"/>
      <c r="G131" s="200"/>
      <c r="H131" s="200"/>
      <c r="I131" s="243"/>
      <c r="J131" s="205"/>
      <c r="K131" s="206"/>
      <c r="L131" s="392"/>
    </row>
    <row r="132" spans="1:12" ht="15.5" thickTop="1" thickBot="1">
      <c r="A132" s="239"/>
      <c r="B132" s="204"/>
      <c r="C132" s="204"/>
      <c r="D132" s="240"/>
      <c r="E132" s="241"/>
      <c r="F132" s="242"/>
      <c r="G132" s="200"/>
      <c r="H132" s="200"/>
      <c r="I132" s="243"/>
      <c r="J132" s="205"/>
      <c r="K132" s="206"/>
      <c r="L132" s="392"/>
    </row>
    <row r="133" spans="1:12" ht="15.5" thickTop="1" thickBot="1">
      <c r="A133" s="239"/>
      <c r="B133" s="204"/>
      <c r="C133" s="204"/>
      <c r="D133" s="240"/>
      <c r="E133" s="241"/>
      <c r="F133" s="242"/>
      <c r="G133" s="200"/>
      <c r="H133" s="200"/>
      <c r="I133" s="243"/>
      <c r="J133" s="205"/>
      <c r="K133" s="206"/>
      <c r="L133" s="392"/>
    </row>
    <row r="134" spans="1:12" ht="15.5" thickTop="1" thickBot="1">
      <c r="A134" s="239"/>
      <c r="B134" s="204"/>
      <c r="C134" s="204"/>
      <c r="D134" s="240"/>
      <c r="E134" s="241"/>
      <c r="F134" s="242"/>
      <c r="G134" s="200"/>
      <c r="H134" s="200"/>
      <c r="I134" s="243"/>
      <c r="J134" s="205"/>
      <c r="K134" s="206"/>
      <c r="L134" s="392"/>
    </row>
    <row r="135" spans="1:12" ht="15.5" thickTop="1" thickBot="1">
      <c r="A135" s="239"/>
      <c r="B135" s="204"/>
      <c r="C135" s="204"/>
      <c r="D135" s="240"/>
      <c r="E135" s="241"/>
      <c r="F135" s="242"/>
      <c r="G135" s="200"/>
      <c r="H135" s="200"/>
      <c r="I135" s="243"/>
      <c r="J135" s="205"/>
      <c r="K135" s="206"/>
      <c r="L135" s="392"/>
    </row>
    <row r="136" spans="1:12" ht="15.5" thickTop="1" thickBot="1">
      <c r="A136" s="239"/>
      <c r="B136" s="204"/>
      <c r="C136" s="204"/>
      <c r="D136" s="240"/>
      <c r="E136" s="241"/>
      <c r="F136" s="242"/>
      <c r="G136" s="200"/>
      <c r="H136" s="200"/>
      <c r="I136" s="243"/>
      <c r="J136" s="205"/>
      <c r="K136" s="206"/>
      <c r="L136" s="392"/>
    </row>
    <row r="137" spans="1:12" ht="15.5" thickTop="1" thickBot="1">
      <c r="A137" s="239"/>
      <c r="B137" s="204"/>
      <c r="C137" s="204"/>
      <c r="D137" s="240"/>
      <c r="E137" s="241"/>
      <c r="F137" s="242"/>
      <c r="G137" s="200"/>
      <c r="H137" s="200"/>
      <c r="I137" s="243"/>
      <c r="J137" s="205"/>
      <c r="K137" s="206"/>
      <c r="L137" s="392"/>
    </row>
    <row r="138" spans="1:12" ht="15.5" thickTop="1" thickBot="1">
      <c r="A138" s="239"/>
      <c r="B138" s="204"/>
      <c r="C138" s="204"/>
      <c r="D138" s="240"/>
      <c r="E138" s="241"/>
      <c r="F138" s="242"/>
      <c r="G138" s="200"/>
      <c r="H138" s="200"/>
      <c r="I138" s="243"/>
      <c r="J138" s="205"/>
      <c r="K138" s="206"/>
      <c r="L138" s="392"/>
    </row>
    <row r="139" spans="1:12" ht="15.5" thickTop="1" thickBot="1">
      <c r="A139" s="239"/>
      <c r="B139" s="204"/>
      <c r="C139" s="204"/>
      <c r="D139" s="240"/>
      <c r="E139" s="241"/>
      <c r="F139" s="242"/>
      <c r="G139" s="200"/>
      <c r="H139" s="200"/>
      <c r="I139" s="243"/>
      <c r="J139" s="205"/>
      <c r="K139" s="206"/>
      <c r="L139" s="392"/>
    </row>
    <row r="140" spans="1:12" ht="15.5" thickTop="1" thickBot="1">
      <c r="A140" s="239"/>
      <c r="B140" s="204"/>
      <c r="C140" s="204"/>
      <c r="D140" s="240"/>
      <c r="E140" s="241"/>
      <c r="F140" s="242"/>
      <c r="G140" s="200"/>
      <c r="H140" s="200"/>
      <c r="I140" s="243"/>
      <c r="J140" s="205"/>
      <c r="K140" s="206"/>
      <c r="L140" s="392"/>
    </row>
    <row r="141" spans="1:12" ht="15.5" thickTop="1" thickBot="1">
      <c r="A141" s="239"/>
      <c r="B141" s="204"/>
      <c r="C141" s="204"/>
      <c r="D141" s="240"/>
      <c r="E141" s="241"/>
      <c r="F141" s="242"/>
      <c r="G141" s="200"/>
      <c r="H141" s="200"/>
      <c r="I141" s="243"/>
      <c r="J141" s="205"/>
      <c r="K141" s="206"/>
      <c r="L141" s="392"/>
    </row>
    <row r="142" spans="1:12" ht="15.5" thickTop="1" thickBot="1">
      <c r="A142" s="239"/>
      <c r="B142" s="204"/>
      <c r="C142" s="204"/>
      <c r="D142" s="240"/>
      <c r="E142" s="241"/>
      <c r="F142" s="242"/>
      <c r="G142" s="200"/>
      <c r="H142" s="200"/>
      <c r="I142" s="243"/>
      <c r="J142" s="205"/>
      <c r="K142" s="206"/>
      <c r="L142" s="392"/>
    </row>
    <row r="143" spans="1:12" ht="15.5" thickTop="1" thickBot="1">
      <c r="A143" s="239"/>
      <c r="B143" s="204"/>
      <c r="C143" s="204"/>
      <c r="D143" s="240"/>
      <c r="E143" s="241"/>
      <c r="F143" s="242"/>
      <c r="G143" s="200"/>
      <c r="H143" s="200"/>
      <c r="I143" s="243"/>
      <c r="J143" s="205"/>
      <c r="K143" s="206"/>
      <c r="L143" s="392"/>
    </row>
    <row r="144" spans="1:12" ht="15.5" thickTop="1" thickBot="1">
      <c r="A144" s="239"/>
      <c r="B144" s="204"/>
      <c r="C144" s="204"/>
      <c r="D144" s="240"/>
      <c r="E144" s="241"/>
      <c r="F144" s="242"/>
      <c r="G144" s="200"/>
      <c r="H144" s="200"/>
      <c r="I144" s="243"/>
      <c r="J144" s="205"/>
      <c r="K144" s="206"/>
      <c r="L144" s="392"/>
    </row>
    <row r="145" spans="1:12" ht="15.5" thickTop="1" thickBot="1">
      <c r="A145" s="239"/>
      <c r="B145" s="204"/>
      <c r="C145" s="204"/>
      <c r="D145" s="240"/>
      <c r="E145" s="241"/>
      <c r="F145" s="242"/>
      <c r="G145" s="200"/>
      <c r="H145" s="200"/>
      <c r="I145" s="243"/>
      <c r="J145" s="205"/>
      <c r="K145" s="206"/>
      <c r="L145" s="392"/>
    </row>
    <row r="146" spans="1:12" ht="15.5" thickTop="1" thickBot="1">
      <c r="A146" s="239"/>
      <c r="B146" s="204"/>
      <c r="C146" s="204"/>
      <c r="D146" s="240"/>
      <c r="E146" s="241"/>
      <c r="F146" s="242"/>
      <c r="G146" s="200"/>
      <c r="H146" s="200"/>
      <c r="I146" s="243"/>
      <c r="J146" s="205"/>
      <c r="K146" s="206"/>
      <c r="L146" s="392"/>
    </row>
    <row r="147" spans="1:12" ht="15.5" thickTop="1" thickBot="1">
      <c r="A147" s="239"/>
      <c r="B147" s="204"/>
      <c r="C147" s="204"/>
      <c r="D147" s="240"/>
      <c r="E147" s="241"/>
      <c r="F147" s="242"/>
      <c r="G147" s="200"/>
      <c r="H147" s="200"/>
      <c r="I147" s="243"/>
      <c r="J147" s="205"/>
      <c r="K147" s="206"/>
      <c r="L147" s="392"/>
    </row>
    <row r="148" spans="1:12" ht="15.5" thickTop="1" thickBot="1">
      <c r="A148" s="239"/>
      <c r="B148" s="204"/>
      <c r="C148" s="204"/>
      <c r="D148" s="240"/>
      <c r="E148" s="241"/>
      <c r="F148" s="242"/>
      <c r="G148" s="200"/>
      <c r="H148" s="200"/>
      <c r="I148" s="243"/>
      <c r="J148" s="205"/>
      <c r="K148" s="206"/>
      <c r="L148" s="392"/>
    </row>
    <row r="149" spans="1:12" ht="15.5" thickTop="1" thickBot="1">
      <c r="A149" s="239"/>
      <c r="B149" s="204"/>
      <c r="C149" s="204"/>
      <c r="D149" s="240"/>
      <c r="E149" s="241"/>
      <c r="F149" s="242"/>
      <c r="G149" s="200"/>
      <c r="H149" s="200"/>
      <c r="I149" s="243"/>
      <c r="J149" s="205"/>
      <c r="K149" s="206"/>
      <c r="L149" s="392"/>
    </row>
    <row r="150" spans="1:12" ht="15.5" thickTop="1" thickBot="1">
      <c r="A150" s="239"/>
      <c r="B150" s="204"/>
      <c r="C150" s="204"/>
      <c r="D150" s="240"/>
      <c r="E150" s="241"/>
      <c r="F150" s="242"/>
      <c r="G150" s="200"/>
      <c r="H150" s="200"/>
      <c r="I150" s="243"/>
      <c r="J150" s="205"/>
      <c r="K150" s="206"/>
      <c r="L150" s="392"/>
    </row>
    <row r="151" spans="1:12" ht="15.5" thickTop="1" thickBot="1">
      <c r="A151" s="239"/>
      <c r="B151" s="204"/>
      <c r="C151" s="204"/>
      <c r="D151" s="240"/>
      <c r="E151" s="241"/>
      <c r="F151" s="242"/>
      <c r="G151" s="200"/>
      <c r="H151" s="200"/>
      <c r="I151" s="243"/>
      <c r="J151" s="205"/>
      <c r="K151" s="206"/>
      <c r="L151" s="392"/>
    </row>
    <row r="152" spans="1:12" ht="15.5" thickTop="1" thickBot="1">
      <c r="A152" s="239"/>
      <c r="B152" s="204"/>
      <c r="C152" s="204"/>
      <c r="D152" s="240"/>
      <c r="E152" s="241"/>
      <c r="F152" s="242"/>
      <c r="G152" s="200"/>
      <c r="H152" s="200"/>
      <c r="I152" s="243"/>
      <c r="J152" s="205"/>
      <c r="K152" s="206"/>
      <c r="L152" s="392"/>
    </row>
    <row r="153" spans="1:12" ht="15.5" thickTop="1" thickBot="1">
      <c r="A153" s="239"/>
      <c r="B153" s="204"/>
      <c r="C153" s="204"/>
      <c r="D153" s="240"/>
      <c r="E153" s="241"/>
      <c r="F153" s="242"/>
      <c r="G153" s="200"/>
      <c r="H153" s="200"/>
      <c r="I153" s="243"/>
      <c r="J153" s="205"/>
      <c r="K153" s="206"/>
      <c r="L153" s="392"/>
    </row>
    <row r="154" spans="1:12" ht="15.5" thickTop="1" thickBot="1">
      <c r="A154" s="239"/>
      <c r="B154" s="204"/>
      <c r="C154" s="204"/>
      <c r="D154" s="240"/>
      <c r="E154" s="241"/>
      <c r="F154" s="242"/>
      <c r="G154" s="200"/>
      <c r="H154" s="200"/>
      <c r="I154" s="243"/>
      <c r="J154" s="205"/>
      <c r="K154" s="206"/>
      <c r="L154" s="392"/>
    </row>
    <row r="155" spans="1:12" ht="15.5" thickTop="1" thickBot="1">
      <c r="A155" s="239"/>
      <c r="B155" s="204"/>
      <c r="C155" s="204"/>
      <c r="D155" s="240"/>
      <c r="E155" s="241"/>
      <c r="F155" s="242"/>
      <c r="G155" s="200"/>
      <c r="H155" s="200"/>
      <c r="I155" s="243"/>
      <c r="J155" s="205"/>
      <c r="K155" s="206"/>
      <c r="L155" s="392"/>
    </row>
    <row r="156" spans="1:12" ht="15.5" thickTop="1" thickBot="1">
      <c r="A156" s="239"/>
      <c r="B156" s="204"/>
      <c r="C156" s="204"/>
      <c r="D156" s="240"/>
      <c r="E156" s="241"/>
      <c r="F156" s="242"/>
      <c r="G156" s="200"/>
      <c r="H156" s="200"/>
      <c r="I156" s="243"/>
      <c r="J156" s="205"/>
      <c r="K156" s="206"/>
      <c r="L156" s="392"/>
    </row>
    <row r="157" spans="1:12" ht="15.5" thickTop="1" thickBot="1">
      <c r="A157" s="239"/>
      <c r="B157" s="204"/>
      <c r="C157" s="204"/>
      <c r="D157" s="240"/>
      <c r="E157" s="241"/>
      <c r="F157" s="242"/>
      <c r="G157" s="200"/>
      <c r="H157" s="200"/>
      <c r="I157" s="243"/>
      <c r="J157" s="205"/>
      <c r="K157" s="206"/>
      <c r="L157" s="392"/>
    </row>
    <row r="158" spans="1:12" ht="15.5" thickTop="1" thickBot="1">
      <c r="A158" s="239"/>
      <c r="B158" s="204"/>
      <c r="C158" s="204"/>
      <c r="D158" s="240"/>
      <c r="E158" s="241"/>
      <c r="F158" s="242"/>
      <c r="G158" s="200"/>
      <c r="H158" s="200"/>
      <c r="I158" s="243"/>
      <c r="J158" s="205"/>
      <c r="K158" s="206"/>
      <c r="L158" s="392"/>
    </row>
    <row r="159" spans="1:12" ht="15.5" thickTop="1" thickBot="1">
      <c r="A159" s="239"/>
      <c r="B159" s="204"/>
      <c r="C159" s="204"/>
      <c r="D159" s="240"/>
      <c r="E159" s="241"/>
      <c r="F159" s="242"/>
      <c r="G159" s="200"/>
      <c r="H159" s="200"/>
      <c r="I159" s="243"/>
      <c r="J159" s="205"/>
      <c r="K159" s="206"/>
      <c r="L159" s="392"/>
    </row>
    <row r="160" spans="1:12" ht="15.5" thickTop="1" thickBot="1">
      <c r="A160" s="239"/>
      <c r="B160" s="204"/>
      <c r="C160" s="204"/>
      <c r="D160" s="240"/>
      <c r="E160" s="241"/>
      <c r="F160" s="242"/>
      <c r="G160" s="200"/>
      <c r="H160" s="200"/>
      <c r="I160" s="243"/>
      <c r="J160" s="205"/>
      <c r="K160" s="206"/>
      <c r="L160" s="392"/>
    </row>
    <row r="161" spans="1:12" ht="15.5" thickTop="1" thickBot="1">
      <c r="A161" s="239"/>
      <c r="B161" s="204"/>
      <c r="C161" s="204"/>
      <c r="D161" s="240"/>
      <c r="E161" s="241"/>
      <c r="F161" s="242"/>
      <c r="G161" s="200"/>
      <c r="H161" s="200"/>
      <c r="I161" s="243"/>
      <c r="J161" s="205"/>
      <c r="K161" s="206"/>
      <c r="L161" s="392"/>
    </row>
    <row r="162" spans="1:12" ht="15.5" thickTop="1" thickBot="1">
      <c r="A162" s="239"/>
      <c r="B162" s="204"/>
      <c r="C162" s="204"/>
      <c r="D162" s="240"/>
      <c r="E162" s="241"/>
      <c r="F162" s="242"/>
      <c r="G162" s="200"/>
      <c r="H162" s="200"/>
      <c r="I162" s="243"/>
      <c r="J162" s="205"/>
      <c r="K162" s="206"/>
      <c r="L162" s="392"/>
    </row>
    <row r="163" spans="1:12" ht="15.5" thickTop="1" thickBot="1">
      <c r="A163" s="239"/>
      <c r="B163" s="204"/>
      <c r="C163" s="204"/>
      <c r="D163" s="240"/>
      <c r="E163" s="241"/>
      <c r="F163" s="242"/>
      <c r="G163" s="200"/>
      <c r="H163" s="200"/>
      <c r="I163" s="243"/>
      <c r="J163" s="205"/>
      <c r="K163" s="206"/>
      <c r="L163" s="392"/>
    </row>
    <row r="164" spans="1:12" ht="15.5" thickTop="1" thickBot="1">
      <c r="A164" s="239"/>
      <c r="B164" s="204"/>
      <c r="C164" s="204"/>
      <c r="D164" s="240"/>
      <c r="E164" s="241"/>
      <c r="F164" s="242"/>
      <c r="G164" s="200"/>
      <c r="H164" s="200"/>
      <c r="I164" s="243"/>
      <c r="J164" s="205"/>
      <c r="K164" s="206"/>
      <c r="L164" s="392"/>
    </row>
    <row r="165" spans="1:12" ht="15.5" thickTop="1" thickBot="1">
      <c r="A165" s="239"/>
      <c r="B165" s="204"/>
      <c r="C165" s="204"/>
      <c r="D165" s="240"/>
      <c r="E165" s="241"/>
      <c r="F165" s="242"/>
      <c r="G165" s="200"/>
      <c r="H165" s="200"/>
      <c r="I165" s="243"/>
      <c r="J165" s="205"/>
      <c r="K165" s="206"/>
      <c r="L165" s="392"/>
    </row>
    <row r="166" spans="1:12" ht="15.5" thickTop="1" thickBot="1">
      <c r="A166" s="239"/>
      <c r="B166" s="204"/>
      <c r="C166" s="204"/>
      <c r="D166" s="240"/>
      <c r="E166" s="241"/>
      <c r="F166" s="242"/>
      <c r="G166" s="200"/>
      <c r="H166" s="200"/>
      <c r="I166" s="243"/>
      <c r="J166" s="205"/>
      <c r="K166" s="206"/>
      <c r="L166" s="392"/>
    </row>
    <row r="167" spans="1:12" ht="15.5" thickTop="1" thickBot="1">
      <c r="A167" s="239"/>
      <c r="B167" s="204"/>
      <c r="C167" s="204"/>
      <c r="D167" s="240"/>
      <c r="E167" s="241"/>
      <c r="F167" s="242"/>
      <c r="G167" s="200"/>
      <c r="H167" s="200"/>
      <c r="I167" s="243"/>
      <c r="J167" s="205"/>
      <c r="K167" s="206"/>
      <c r="L167" s="392"/>
    </row>
    <row r="168" spans="1:12" ht="15.5" thickTop="1" thickBot="1">
      <c r="A168" s="239"/>
      <c r="B168" s="204"/>
      <c r="C168" s="204"/>
      <c r="D168" s="240"/>
      <c r="E168" s="241"/>
      <c r="F168" s="242"/>
      <c r="G168" s="200"/>
      <c r="H168" s="200"/>
      <c r="I168" s="243"/>
      <c r="J168" s="205"/>
      <c r="K168" s="206"/>
      <c r="L168" s="392"/>
    </row>
    <row r="169" spans="1:12" ht="15.5" thickTop="1" thickBot="1">
      <c r="A169" s="239"/>
      <c r="B169" s="204"/>
      <c r="C169" s="204"/>
      <c r="D169" s="240"/>
      <c r="E169" s="241"/>
      <c r="F169" s="242"/>
      <c r="G169" s="200"/>
      <c r="H169" s="200"/>
      <c r="I169" s="243"/>
      <c r="J169" s="205"/>
      <c r="K169" s="206"/>
      <c r="L169" s="392"/>
    </row>
    <row r="170" spans="1:12" ht="15.5" thickTop="1" thickBot="1">
      <c r="A170" s="239"/>
      <c r="B170" s="204"/>
      <c r="C170" s="204"/>
      <c r="D170" s="240"/>
      <c r="E170" s="241"/>
      <c r="F170" s="242"/>
      <c r="G170" s="200"/>
      <c r="H170" s="200"/>
      <c r="I170" s="243"/>
      <c r="J170" s="205"/>
      <c r="K170" s="206"/>
      <c r="L170" s="392"/>
    </row>
    <row r="171" spans="1:12" ht="15.5" thickTop="1" thickBot="1">
      <c r="A171" s="239"/>
      <c r="B171" s="204"/>
      <c r="C171" s="204"/>
      <c r="D171" s="240"/>
      <c r="E171" s="241"/>
      <c r="F171" s="242"/>
      <c r="G171" s="200"/>
      <c r="H171" s="200"/>
      <c r="I171" s="243"/>
      <c r="J171" s="205"/>
      <c r="K171" s="206"/>
      <c r="L171" s="392"/>
    </row>
    <row r="172" spans="1:12" ht="15.5" thickTop="1" thickBot="1">
      <c r="A172" s="239"/>
      <c r="B172" s="204"/>
      <c r="C172" s="204"/>
      <c r="D172" s="240"/>
      <c r="E172" s="241"/>
      <c r="F172" s="242"/>
      <c r="G172" s="200"/>
      <c r="H172" s="200"/>
      <c r="I172" s="243"/>
      <c r="J172" s="205"/>
      <c r="K172" s="206"/>
      <c r="L172" s="392"/>
    </row>
    <row r="173" spans="1:12" ht="15.5" thickTop="1" thickBot="1">
      <c r="A173" s="239"/>
      <c r="B173" s="204"/>
      <c r="C173" s="204"/>
      <c r="D173" s="240"/>
      <c r="E173" s="241"/>
      <c r="F173" s="242"/>
      <c r="G173" s="200"/>
      <c r="H173" s="200"/>
      <c r="I173" s="243"/>
      <c r="J173" s="205"/>
      <c r="K173" s="206"/>
      <c r="L173" s="392"/>
    </row>
    <row r="174" spans="1:12" ht="15.5" thickTop="1" thickBot="1">
      <c r="A174" s="239"/>
      <c r="B174" s="204"/>
      <c r="C174" s="204"/>
      <c r="D174" s="240"/>
      <c r="E174" s="241"/>
      <c r="F174" s="242"/>
      <c r="G174" s="200"/>
      <c r="H174" s="200"/>
      <c r="I174" s="243"/>
      <c r="J174" s="205"/>
      <c r="K174" s="206"/>
      <c r="L174" s="392"/>
    </row>
    <row r="175" spans="1:12" ht="15.5" thickTop="1" thickBot="1">
      <c r="A175" s="239"/>
      <c r="B175" s="204"/>
      <c r="C175" s="204"/>
      <c r="D175" s="240"/>
      <c r="E175" s="241"/>
      <c r="F175" s="242"/>
      <c r="G175" s="200"/>
      <c r="H175" s="200"/>
      <c r="I175" s="243"/>
      <c r="J175" s="205"/>
      <c r="K175" s="206"/>
      <c r="L175" s="392"/>
    </row>
    <row r="176" spans="1:12" ht="15.5" thickTop="1" thickBot="1">
      <c r="A176" s="239"/>
      <c r="B176" s="204"/>
      <c r="C176" s="204"/>
      <c r="D176" s="240"/>
      <c r="E176" s="241"/>
      <c r="F176" s="242"/>
      <c r="G176" s="200"/>
      <c r="H176" s="200"/>
      <c r="I176" s="243"/>
      <c r="J176" s="205"/>
      <c r="K176" s="206"/>
      <c r="L176" s="392"/>
    </row>
    <row r="177" spans="1:12" ht="15.5" thickTop="1" thickBot="1">
      <c r="A177" s="239"/>
      <c r="B177" s="204"/>
      <c r="C177" s="204"/>
      <c r="D177" s="240"/>
      <c r="E177" s="241"/>
      <c r="F177" s="242"/>
      <c r="G177" s="200"/>
      <c r="H177" s="200"/>
      <c r="I177" s="243"/>
      <c r="J177" s="205"/>
      <c r="K177" s="206"/>
      <c r="L177" s="392"/>
    </row>
    <row r="178" spans="1:12" ht="15.5" thickTop="1" thickBot="1">
      <c r="A178" s="239"/>
      <c r="B178" s="204"/>
      <c r="C178" s="204"/>
      <c r="D178" s="240"/>
      <c r="E178" s="241"/>
      <c r="F178" s="242"/>
      <c r="G178" s="200"/>
      <c r="H178" s="200"/>
      <c r="I178" s="243"/>
      <c r="J178" s="205"/>
      <c r="K178" s="206"/>
      <c r="L178" s="392"/>
    </row>
    <row r="179" spans="1:12" ht="15.5" thickTop="1" thickBot="1">
      <c r="A179" s="239"/>
      <c r="B179" s="204"/>
      <c r="C179" s="204"/>
      <c r="D179" s="240"/>
      <c r="E179" s="241"/>
      <c r="F179" s="242"/>
      <c r="G179" s="200"/>
      <c r="H179" s="200"/>
      <c r="I179" s="243"/>
      <c r="J179" s="205"/>
      <c r="K179" s="206"/>
      <c r="L179" s="392"/>
    </row>
    <row r="180" spans="1:12" ht="15.5" thickTop="1" thickBot="1">
      <c r="A180" s="239"/>
      <c r="B180" s="204"/>
      <c r="C180" s="204"/>
      <c r="D180" s="240"/>
      <c r="E180" s="241"/>
      <c r="F180" s="242"/>
      <c r="G180" s="200"/>
      <c r="H180" s="200"/>
      <c r="I180" s="243"/>
      <c r="J180" s="205"/>
      <c r="K180" s="206"/>
      <c r="L180" s="392"/>
    </row>
    <row r="181" spans="1:12" ht="15.5" thickTop="1" thickBot="1">
      <c r="A181" s="239"/>
      <c r="B181" s="204"/>
      <c r="C181" s="204"/>
      <c r="D181" s="240"/>
      <c r="E181" s="241"/>
      <c r="F181" s="242"/>
      <c r="G181" s="200"/>
      <c r="H181" s="200"/>
      <c r="I181" s="243"/>
      <c r="J181" s="205"/>
      <c r="K181" s="206"/>
      <c r="L181" s="392"/>
    </row>
    <row r="182" spans="1:12" ht="15.5" thickTop="1" thickBot="1">
      <c r="A182" s="239"/>
      <c r="B182" s="204"/>
      <c r="C182" s="204"/>
      <c r="D182" s="240"/>
      <c r="E182" s="241"/>
      <c r="F182" s="242"/>
      <c r="G182" s="200"/>
      <c r="H182" s="200"/>
      <c r="I182" s="243"/>
      <c r="J182" s="205"/>
      <c r="K182" s="206"/>
      <c r="L182" s="392"/>
    </row>
    <row r="183" spans="1:12" ht="15.5" thickTop="1" thickBot="1">
      <c r="A183" s="239"/>
      <c r="B183" s="204"/>
      <c r="C183" s="204"/>
      <c r="D183" s="240"/>
      <c r="E183" s="241"/>
      <c r="F183" s="242"/>
      <c r="G183" s="200"/>
      <c r="H183" s="200"/>
      <c r="I183" s="243"/>
      <c r="J183" s="205"/>
      <c r="K183" s="206"/>
      <c r="L183" s="392"/>
    </row>
    <row r="184" spans="1:12" ht="15.5" thickTop="1" thickBot="1">
      <c r="A184" s="239"/>
      <c r="B184" s="204"/>
      <c r="C184" s="204"/>
      <c r="D184" s="240"/>
      <c r="E184" s="241"/>
      <c r="F184" s="242"/>
      <c r="G184" s="200"/>
      <c r="H184" s="200"/>
      <c r="I184" s="243"/>
      <c r="J184" s="205"/>
      <c r="K184" s="206"/>
      <c r="L184" s="392"/>
    </row>
    <row r="185" spans="1:12" ht="15.5" thickTop="1" thickBot="1">
      <c r="A185" s="239"/>
      <c r="B185" s="204"/>
      <c r="C185" s="204"/>
      <c r="D185" s="240"/>
      <c r="E185" s="241"/>
      <c r="F185" s="242"/>
      <c r="G185" s="200"/>
      <c r="H185" s="200"/>
      <c r="I185" s="243"/>
      <c r="J185" s="205"/>
      <c r="K185" s="206"/>
      <c r="L185" s="392"/>
    </row>
    <row r="186" spans="1:12" ht="15.5" thickTop="1" thickBot="1">
      <c r="A186" s="239"/>
      <c r="B186" s="204"/>
      <c r="C186" s="204"/>
      <c r="D186" s="240"/>
      <c r="E186" s="241"/>
      <c r="F186" s="242"/>
      <c r="G186" s="200"/>
      <c r="H186" s="200"/>
      <c r="I186" s="243"/>
      <c r="J186" s="205"/>
      <c r="K186" s="206"/>
      <c r="L186" s="392"/>
    </row>
    <row r="187" spans="1:12" ht="15.5" thickTop="1" thickBot="1">
      <c r="A187" s="239"/>
      <c r="B187" s="204"/>
      <c r="C187" s="204"/>
      <c r="D187" s="240"/>
      <c r="E187" s="241"/>
      <c r="F187" s="242"/>
      <c r="G187" s="200"/>
      <c r="H187" s="200"/>
      <c r="I187" s="243"/>
      <c r="J187" s="205"/>
      <c r="K187" s="206"/>
      <c r="L187" s="392"/>
    </row>
    <row r="188" spans="1:12" ht="15.5" thickTop="1" thickBot="1">
      <c r="A188" s="239"/>
      <c r="B188" s="204"/>
      <c r="C188" s="204"/>
      <c r="D188" s="240"/>
      <c r="E188" s="241"/>
      <c r="F188" s="242"/>
      <c r="G188" s="200"/>
      <c r="H188" s="200"/>
      <c r="I188" s="243"/>
      <c r="J188" s="205"/>
      <c r="K188" s="206"/>
      <c r="L188" s="392"/>
    </row>
    <row r="189" spans="1:12" ht="15.5" thickTop="1" thickBot="1">
      <c r="A189" s="239"/>
      <c r="B189" s="204"/>
      <c r="C189" s="204"/>
      <c r="D189" s="240"/>
      <c r="E189" s="241"/>
      <c r="F189" s="242"/>
      <c r="G189" s="200"/>
      <c r="H189" s="200"/>
      <c r="I189" s="243"/>
      <c r="J189" s="205"/>
      <c r="K189" s="206"/>
      <c r="L189" s="392"/>
    </row>
    <row r="190" spans="1:12" ht="15.5" thickTop="1" thickBot="1">
      <c r="A190" s="239"/>
      <c r="B190" s="204"/>
      <c r="C190" s="204"/>
      <c r="D190" s="240"/>
      <c r="E190" s="241"/>
      <c r="F190" s="242"/>
      <c r="G190" s="200"/>
      <c r="H190" s="200"/>
      <c r="I190" s="243"/>
      <c r="J190" s="205"/>
      <c r="K190" s="206"/>
      <c r="L190" s="392"/>
    </row>
    <row r="191" spans="1:12" ht="15.5" thickTop="1" thickBot="1">
      <c r="A191" s="239"/>
      <c r="B191" s="204"/>
      <c r="C191" s="204"/>
      <c r="D191" s="240"/>
      <c r="E191" s="241"/>
      <c r="F191" s="242"/>
      <c r="G191" s="200"/>
      <c r="H191" s="200"/>
      <c r="I191" s="243"/>
      <c r="J191" s="205"/>
      <c r="K191" s="206"/>
      <c r="L191" s="392"/>
    </row>
    <row r="192" spans="1:12" ht="15.5" thickTop="1" thickBot="1">
      <c r="A192" s="239"/>
      <c r="B192" s="204"/>
      <c r="C192" s="204"/>
      <c r="D192" s="240"/>
      <c r="E192" s="241"/>
      <c r="F192" s="242"/>
      <c r="G192" s="200"/>
      <c r="H192" s="200"/>
      <c r="I192" s="243"/>
      <c r="J192" s="205"/>
      <c r="K192" s="206"/>
      <c r="L192" s="392"/>
    </row>
    <row r="193" spans="1:12" ht="15.5" thickTop="1" thickBot="1">
      <c r="A193" s="239"/>
      <c r="B193" s="204"/>
      <c r="C193" s="204"/>
      <c r="D193" s="240"/>
      <c r="E193" s="241"/>
      <c r="F193" s="242"/>
      <c r="G193" s="200"/>
      <c r="H193" s="200"/>
      <c r="I193" s="243"/>
      <c r="J193" s="205"/>
      <c r="K193" s="206"/>
      <c r="L193" s="392"/>
    </row>
    <row r="194" spans="1:12" ht="15.5" thickTop="1" thickBot="1">
      <c r="A194" s="239"/>
      <c r="B194" s="204"/>
      <c r="C194" s="204"/>
      <c r="D194" s="240"/>
      <c r="E194" s="241"/>
      <c r="F194" s="242"/>
      <c r="G194" s="200"/>
      <c r="H194" s="200"/>
      <c r="I194" s="243"/>
      <c r="J194" s="205"/>
      <c r="K194" s="206"/>
      <c r="L194" s="392"/>
    </row>
    <row r="195" spans="1:12" ht="15.5" thickTop="1" thickBot="1">
      <c r="A195" s="239"/>
      <c r="B195" s="204"/>
      <c r="C195" s="204"/>
      <c r="D195" s="240"/>
      <c r="E195" s="241"/>
      <c r="F195" s="242"/>
      <c r="G195" s="200"/>
      <c r="H195" s="200"/>
      <c r="I195" s="243"/>
      <c r="J195" s="205"/>
      <c r="K195" s="206"/>
      <c r="L195" s="392"/>
    </row>
    <row r="196" spans="1:12" ht="15.5" thickTop="1" thickBot="1">
      <c r="A196" s="239"/>
      <c r="B196" s="204"/>
      <c r="C196" s="204"/>
      <c r="D196" s="240"/>
      <c r="E196" s="241"/>
      <c r="F196" s="242"/>
      <c r="G196" s="200"/>
      <c r="H196" s="200"/>
      <c r="I196" s="243"/>
      <c r="J196" s="205"/>
      <c r="K196" s="206"/>
      <c r="L196" s="392"/>
    </row>
    <row r="197" spans="1:12" ht="15.5" thickTop="1" thickBot="1">
      <c r="A197" s="239"/>
      <c r="B197" s="204"/>
      <c r="C197" s="204"/>
      <c r="D197" s="240"/>
      <c r="E197" s="241"/>
      <c r="F197" s="242"/>
      <c r="G197" s="200"/>
      <c r="H197" s="200"/>
      <c r="I197" s="243"/>
      <c r="J197" s="205"/>
      <c r="K197" s="206"/>
      <c r="L197" s="392"/>
    </row>
    <row r="198" spans="1:12" ht="15.5" thickTop="1" thickBot="1">
      <c r="A198" s="239"/>
      <c r="B198" s="204"/>
      <c r="C198" s="204"/>
      <c r="D198" s="240"/>
      <c r="E198" s="241"/>
      <c r="F198" s="242"/>
      <c r="G198" s="200"/>
      <c r="H198" s="200"/>
      <c r="I198" s="243"/>
      <c r="J198" s="205"/>
      <c r="K198" s="206"/>
      <c r="L198" s="392"/>
    </row>
    <row r="199" spans="1:12" ht="15.5" thickTop="1" thickBot="1">
      <c r="A199" s="239"/>
      <c r="B199" s="204"/>
      <c r="C199" s="204"/>
      <c r="D199" s="240"/>
      <c r="E199" s="241"/>
      <c r="F199" s="242"/>
      <c r="G199" s="200"/>
      <c r="H199" s="200"/>
      <c r="I199" s="243"/>
      <c r="J199" s="205"/>
      <c r="K199" s="206"/>
      <c r="L199" s="392"/>
    </row>
    <row r="200" spans="1:12" ht="15.5" thickTop="1" thickBot="1">
      <c r="A200" s="239"/>
      <c r="B200" s="204"/>
      <c r="C200" s="204"/>
      <c r="D200" s="240"/>
      <c r="E200" s="241"/>
      <c r="F200" s="242"/>
      <c r="G200" s="200"/>
      <c r="H200" s="200"/>
      <c r="I200" s="243"/>
      <c r="J200" s="205"/>
      <c r="K200" s="206"/>
      <c r="L200" s="392"/>
    </row>
    <row r="201" spans="1:12" ht="15.5" thickTop="1" thickBot="1">
      <c r="A201" s="239"/>
      <c r="B201" s="204"/>
      <c r="C201" s="204"/>
      <c r="D201" s="240"/>
      <c r="E201" s="241"/>
      <c r="F201" s="242"/>
      <c r="G201" s="200"/>
      <c r="H201" s="200"/>
      <c r="I201" s="243"/>
      <c r="J201" s="205"/>
      <c r="K201" s="206"/>
      <c r="L201" s="392"/>
    </row>
    <row r="202" spans="1:12" ht="15.5" thickTop="1" thickBot="1">
      <c r="A202" s="239"/>
      <c r="B202" s="204"/>
      <c r="C202" s="204"/>
      <c r="D202" s="240"/>
      <c r="E202" s="241"/>
      <c r="F202" s="242"/>
      <c r="G202" s="200"/>
      <c r="H202" s="200"/>
      <c r="I202" s="243"/>
      <c r="J202" s="205"/>
      <c r="K202" s="206"/>
      <c r="L202" s="392"/>
    </row>
    <row r="203" spans="1:12" ht="15.5" thickTop="1" thickBot="1">
      <c r="A203" s="239"/>
      <c r="B203" s="204"/>
      <c r="C203" s="204"/>
      <c r="D203" s="240"/>
      <c r="E203" s="241"/>
      <c r="F203" s="242"/>
      <c r="G203" s="200"/>
      <c r="H203" s="200"/>
      <c r="I203" s="243"/>
      <c r="J203" s="205"/>
      <c r="K203" s="206"/>
      <c r="L203" s="392"/>
    </row>
    <row r="204" spans="1:12" ht="15.5" thickTop="1" thickBot="1">
      <c r="A204" s="239"/>
      <c r="B204" s="204"/>
      <c r="C204" s="204"/>
      <c r="D204" s="240"/>
      <c r="E204" s="241"/>
      <c r="F204" s="242"/>
      <c r="G204" s="200"/>
      <c r="H204" s="200"/>
      <c r="I204" s="243"/>
      <c r="J204" s="205"/>
      <c r="K204" s="206"/>
      <c r="L204" s="392"/>
    </row>
    <row r="205" spans="1:12" ht="15.5" thickTop="1" thickBot="1">
      <c r="A205" s="239"/>
      <c r="B205" s="204"/>
      <c r="C205" s="204"/>
      <c r="D205" s="240"/>
      <c r="E205" s="241"/>
      <c r="F205" s="242"/>
      <c r="G205" s="200"/>
      <c r="H205" s="200"/>
      <c r="I205" s="243"/>
      <c r="J205" s="205"/>
      <c r="K205" s="206"/>
      <c r="L205" s="392"/>
    </row>
    <row r="206" spans="1:12" ht="15.5" thickTop="1" thickBot="1">
      <c r="A206" s="239"/>
      <c r="B206" s="204"/>
      <c r="C206" s="204"/>
      <c r="D206" s="240"/>
      <c r="E206" s="241"/>
      <c r="F206" s="242"/>
      <c r="G206" s="200"/>
      <c r="H206" s="200"/>
      <c r="I206" s="243"/>
      <c r="J206" s="205"/>
      <c r="K206" s="206"/>
      <c r="L206" s="392"/>
    </row>
    <row r="207" spans="1:12" ht="15.5" thickTop="1" thickBot="1">
      <c r="A207" s="239"/>
      <c r="B207" s="204"/>
      <c r="C207" s="204"/>
      <c r="D207" s="240"/>
      <c r="E207" s="241"/>
      <c r="F207" s="242"/>
      <c r="G207" s="200"/>
      <c r="H207" s="200"/>
      <c r="I207" s="243"/>
      <c r="J207" s="205"/>
      <c r="K207" s="206"/>
      <c r="L207" s="392"/>
    </row>
    <row r="208" spans="1:12" ht="15.5" thickTop="1" thickBot="1">
      <c r="A208" s="239"/>
      <c r="B208" s="204"/>
      <c r="C208" s="204"/>
      <c r="D208" s="240"/>
      <c r="E208" s="241"/>
      <c r="F208" s="242"/>
      <c r="G208" s="200"/>
      <c r="H208" s="200"/>
      <c r="I208" s="243"/>
      <c r="J208" s="205"/>
      <c r="K208" s="206"/>
      <c r="L208" s="392"/>
    </row>
    <row r="209" spans="1:12" ht="15.5" thickTop="1" thickBot="1">
      <c r="A209" s="239"/>
      <c r="B209" s="204"/>
      <c r="C209" s="204"/>
      <c r="D209" s="240"/>
      <c r="E209" s="241"/>
      <c r="F209" s="242"/>
      <c r="G209" s="200"/>
      <c r="H209" s="200"/>
      <c r="I209" s="243"/>
      <c r="J209" s="205"/>
      <c r="K209" s="206"/>
      <c r="L209" s="392"/>
    </row>
    <row r="210" spans="1:12" ht="15.5" thickTop="1" thickBot="1">
      <c r="A210" s="239"/>
      <c r="B210" s="204"/>
      <c r="C210" s="204"/>
      <c r="D210" s="240"/>
      <c r="E210" s="241"/>
      <c r="F210" s="242"/>
      <c r="G210" s="200"/>
      <c r="H210" s="200"/>
      <c r="I210" s="243"/>
      <c r="J210" s="205"/>
      <c r="K210" s="206"/>
      <c r="L210" s="392"/>
    </row>
    <row r="211" spans="1:12" ht="15.5" thickTop="1" thickBot="1">
      <c r="A211" s="239"/>
      <c r="B211" s="204"/>
      <c r="C211" s="204"/>
      <c r="D211" s="240"/>
      <c r="E211" s="241"/>
      <c r="F211" s="242"/>
      <c r="G211" s="200"/>
      <c r="H211" s="200"/>
      <c r="I211" s="243"/>
      <c r="J211" s="205"/>
      <c r="K211" s="206"/>
      <c r="L211" s="392"/>
    </row>
    <row r="212" spans="1:12" ht="15.5" thickTop="1" thickBot="1">
      <c r="A212" s="239"/>
      <c r="B212" s="204"/>
      <c r="C212" s="204"/>
      <c r="D212" s="240"/>
      <c r="E212" s="241"/>
      <c r="F212" s="242"/>
      <c r="G212" s="200"/>
      <c r="H212" s="200"/>
      <c r="I212" s="243"/>
      <c r="J212" s="205"/>
      <c r="K212" s="206"/>
      <c r="L212" s="392"/>
    </row>
    <row r="213" spans="1:12" ht="15.5" thickTop="1" thickBot="1">
      <c r="A213" s="239"/>
      <c r="B213" s="204"/>
      <c r="C213" s="204"/>
      <c r="D213" s="240"/>
      <c r="E213" s="241"/>
      <c r="F213" s="242"/>
      <c r="G213" s="200"/>
      <c r="H213" s="200"/>
      <c r="I213" s="243"/>
      <c r="J213" s="205"/>
      <c r="K213" s="206"/>
      <c r="L213" s="392"/>
    </row>
    <row r="214" spans="1:12" ht="15.5" thickTop="1" thickBot="1">
      <c r="A214" s="239"/>
      <c r="B214" s="204"/>
      <c r="C214" s="204"/>
      <c r="D214" s="240"/>
      <c r="E214" s="241"/>
      <c r="F214" s="242"/>
      <c r="G214" s="200"/>
      <c r="H214" s="200"/>
      <c r="I214" s="243"/>
      <c r="J214" s="205"/>
      <c r="K214" s="206"/>
      <c r="L214" s="392"/>
    </row>
    <row r="215" spans="1:12" ht="15.5" thickTop="1" thickBot="1">
      <c r="A215" s="239"/>
      <c r="B215" s="204"/>
      <c r="C215" s="204"/>
      <c r="D215" s="240"/>
      <c r="E215" s="241"/>
      <c r="F215" s="242"/>
      <c r="G215" s="200"/>
      <c r="H215" s="200"/>
      <c r="I215" s="243"/>
      <c r="J215" s="205"/>
      <c r="K215" s="206"/>
      <c r="L215" s="392"/>
    </row>
    <row r="216" spans="1:12" ht="15.5" thickTop="1" thickBot="1">
      <c r="A216" s="239"/>
      <c r="B216" s="204"/>
      <c r="C216" s="204"/>
      <c r="D216" s="240"/>
      <c r="E216" s="241"/>
      <c r="F216" s="242"/>
      <c r="G216" s="200"/>
      <c r="H216" s="200"/>
      <c r="I216" s="243"/>
      <c r="J216" s="205"/>
      <c r="K216" s="206"/>
      <c r="L216" s="392"/>
    </row>
    <row r="217" spans="1:12" ht="15.5" thickTop="1" thickBot="1">
      <c r="A217" s="239"/>
      <c r="B217" s="204"/>
      <c r="C217" s="204"/>
      <c r="D217" s="240"/>
      <c r="E217" s="241"/>
      <c r="F217" s="242"/>
      <c r="G217" s="200"/>
      <c r="H217" s="200"/>
      <c r="I217" s="243"/>
      <c r="J217" s="205"/>
      <c r="K217" s="206"/>
      <c r="L217" s="392"/>
    </row>
    <row r="218" spans="1:12" ht="15.5" thickTop="1" thickBot="1">
      <c r="A218" s="239"/>
      <c r="B218" s="204"/>
      <c r="C218" s="204"/>
      <c r="D218" s="240"/>
      <c r="E218" s="241"/>
      <c r="F218" s="242"/>
      <c r="G218" s="200"/>
      <c r="H218" s="200"/>
      <c r="I218" s="243"/>
      <c r="J218" s="205"/>
      <c r="K218" s="206"/>
      <c r="L218" s="392"/>
    </row>
    <row r="219" spans="1:12" ht="15.5" thickTop="1" thickBot="1">
      <c r="A219" s="239"/>
      <c r="B219" s="204"/>
      <c r="C219" s="204"/>
      <c r="D219" s="240"/>
      <c r="E219" s="241"/>
      <c r="F219" s="242"/>
      <c r="G219" s="200"/>
      <c r="H219" s="200"/>
      <c r="I219" s="243"/>
      <c r="J219" s="205"/>
      <c r="K219" s="206"/>
      <c r="L219" s="392"/>
    </row>
    <row r="220" spans="1:12" ht="15.5" thickTop="1" thickBot="1">
      <c r="A220" s="239"/>
      <c r="B220" s="204"/>
      <c r="C220" s="204"/>
      <c r="D220" s="240"/>
      <c r="E220" s="241"/>
      <c r="F220" s="242"/>
      <c r="G220" s="200"/>
      <c r="H220" s="200"/>
      <c r="I220" s="243"/>
      <c r="J220" s="205"/>
      <c r="K220" s="206"/>
      <c r="L220" s="392"/>
    </row>
    <row r="221" spans="1:12" ht="15.5" thickTop="1" thickBot="1">
      <c r="A221" s="239"/>
      <c r="B221" s="204"/>
      <c r="C221" s="204"/>
      <c r="D221" s="240"/>
      <c r="E221" s="241"/>
      <c r="F221" s="242"/>
      <c r="G221" s="200"/>
      <c r="H221" s="200"/>
      <c r="I221" s="243"/>
      <c r="J221" s="205"/>
      <c r="K221" s="206"/>
      <c r="L221" s="392"/>
    </row>
    <row r="222" spans="1:12" ht="15.5" thickTop="1" thickBot="1">
      <c r="A222" s="239"/>
      <c r="B222" s="204"/>
      <c r="C222" s="204"/>
      <c r="D222" s="240"/>
      <c r="E222" s="241"/>
      <c r="F222" s="242"/>
      <c r="G222" s="200"/>
      <c r="H222" s="200"/>
      <c r="I222" s="243"/>
      <c r="J222" s="205"/>
      <c r="K222" s="206"/>
      <c r="L222" s="392"/>
    </row>
    <row r="223" spans="1:12" ht="15.5" thickTop="1" thickBot="1">
      <c r="A223" s="239"/>
      <c r="B223" s="204"/>
      <c r="C223" s="204"/>
      <c r="D223" s="240"/>
      <c r="E223" s="241"/>
      <c r="F223" s="242"/>
      <c r="G223" s="200"/>
      <c r="H223" s="200"/>
      <c r="I223" s="243"/>
      <c r="J223" s="205"/>
      <c r="K223" s="206"/>
      <c r="L223" s="392"/>
    </row>
    <row r="224" spans="1:12" ht="15.5" thickTop="1" thickBot="1">
      <c r="A224" s="239"/>
      <c r="B224" s="204"/>
      <c r="C224" s="204"/>
      <c r="D224" s="240"/>
      <c r="E224" s="241"/>
      <c r="F224" s="242"/>
      <c r="G224" s="200"/>
      <c r="H224" s="200"/>
      <c r="I224" s="243"/>
      <c r="J224" s="205"/>
      <c r="K224" s="206"/>
      <c r="L224" s="392"/>
    </row>
    <row r="225" spans="1:12" ht="15.5" thickTop="1" thickBot="1">
      <c r="A225" s="239"/>
      <c r="B225" s="204"/>
      <c r="C225" s="204"/>
      <c r="D225" s="240"/>
      <c r="E225" s="241"/>
      <c r="F225" s="242"/>
      <c r="G225" s="200"/>
      <c r="H225" s="200"/>
      <c r="I225" s="243"/>
      <c r="J225" s="205"/>
      <c r="K225" s="206"/>
      <c r="L225" s="392"/>
    </row>
    <row r="226" spans="1:12" ht="15.5" thickTop="1" thickBot="1">
      <c r="A226" s="239"/>
      <c r="B226" s="204"/>
      <c r="C226" s="204"/>
      <c r="D226" s="240"/>
      <c r="E226" s="241"/>
      <c r="F226" s="242"/>
      <c r="G226" s="200"/>
      <c r="H226" s="200"/>
      <c r="I226" s="243"/>
      <c r="J226" s="205"/>
      <c r="K226" s="206"/>
      <c r="L226" s="392"/>
    </row>
    <row r="227" spans="1:12" ht="15.5" thickTop="1" thickBot="1">
      <c r="A227" s="239"/>
      <c r="B227" s="204"/>
      <c r="C227" s="204"/>
      <c r="D227" s="240"/>
      <c r="E227" s="241"/>
      <c r="F227" s="242"/>
      <c r="G227" s="200"/>
      <c r="H227" s="200"/>
      <c r="I227" s="243"/>
      <c r="J227" s="205"/>
      <c r="K227" s="206"/>
      <c r="L227" s="392"/>
    </row>
    <row r="228" spans="1:12" ht="15.5" thickTop="1" thickBot="1">
      <c r="A228" s="239"/>
      <c r="B228" s="204"/>
      <c r="C228" s="204"/>
      <c r="D228" s="240"/>
      <c r="E228" s="241"/>
      <c r="F228" s="242"/>
      <c r="G228" s="200"/>
      <c r="H228" s="200"/>
      <c r="I228" s="243"/>
      <c r="J228" s="205"/>
      <c r="K228" s="206"/>
      <c r="L228" s="392"/>
    </row>
    <row r="229" spans="1:12" ht="15.5" thickTop="1" thickBot="1">
      <c r="A229" s="239"/>
      <c r="B229" s="204"/>
      <c r="C229" s="204"/>
      <c r="D229" s="240"/>
      <c r="E229" s="241"/>
      <c r="F229" s="242"/>
      <c r="G229" s="200"/>
      <c r="H229" s="200"/>
      <c r="I229" s="243"/>
      <c r="J229" s="205"/>
      <c r="K229" s="206"/>
      <c r="L229" s="392"/>
    </row>
    <row r="230" spans="1:12" ht="15.5" thickTop="1" thickBot="1">
      <c r="A230" s="239"/>
      <c r="B230" s="204"/>
      <c r="C230" s="204"/>
      <c r="D230" s="240"/>
      <c r="E230" s="241"/>
      <c r="F230" s="242"/>
      <c r="G230" s="200"/>
      <c r="H230" s="200"/>
      <c r="I230" s="243"/>
      <c r="J230" s="205"/>
      <c r="K230" s="206"/>
      <c r="L230" s="392"/>
    </row>
    <row r="231" spans="1:12" ht="15.5" thickTop="1" thickBot="1">
      <c r="A231" s="239"/>
      <c r="B231" s="204"/>
      <c r="C231" s="204"/>
      <c r="D231" s="240"/>
      <c r="E231" s="241"/>
      <c r="F231" s="242"/>
      <c r="G231" s="200"/>
      <c r="H231" s="200"/>
      <c r="I231" s="243"/>
      <c r="J231" s="205"/>
      <c r="K231" s="206"/>
      <c r="L231" s="392"/>
    </row>
    <row r="232" spans="1:12" ht="15.5" thickTop="1" thickBot="1">
      <c r="A232" s="239"/>
      <c r="B232" s="204"/>
      <c r="C232" s="204"/>
      <c r="D232" s="240"/>
      <c r="E232" s="241"/>
      <c r="F232" s="242"/>
      <c r="G232" s="200"/>
      <c r="H232" s="200"/>
      <c r="I232" s="243"/>
      <c r="J232" s="205"/>
      <c r="K232" s="206"/>
      <c r="L232" s="392"/>
    </row>
    <row r="233" spans="1:12" ht="15.5" thickTop="1" thickBot="1">
      <c r="A233" s="239"/>
      <c r="B233" s="204"/>
      <c r="C233" s="204"/>
      <c r="D233" s="240"/>
      <c r="E233" s="241"/>
      <c r="F233" s="242"/>
      <c r="G233" s="200"/>
      <c r="H233" s="200"/>
      <c r="I233" s="243"/>
      <c r="J233" s="205"/>
      <c r="K233" s="206"/>
      <c r="L233" s="392"/>
    </row>
    <row r="234" spans="1:12" ht="15.5" thickTop="1" thickBot="1">
      <c r="A234" s="239"/>
      <c r="B234" s="204"/>
      <c r="C234" s="204"/>
      <c r="D234" s="240"/>
      <c r="E234" s="241"/>
      <c r="F234" s="242"/>
      <c r="G234" s="200"/>
      <c r="H234" s="200"/>
      <c r="I234" s="243"/>
      <c r="J234" s="205"/>
      <c r="K234" s="206"/>
      <c r="L234" s="392"/>
    </row>
    <row r="235" spans="1:12" ht="15.5" thickTop="1" thickBot="1">
      <c r="A235" s="239"/>
      <c r="B235" s="204"/>
      <c r="C235" s="204"/>
      <c r="D235" s="240"/>
      <c r="E235" s="241"/>
      <c r="F235" s="242"/>
      <c r="G235" s="200"/>
      <c r="H235" s="200"/>
      <c r="I235" s="243"/>
      <c r="J235" s="205"/>
      <c r="K235" s="206"/>
      <c r="L235" s="392"/>
    </row>
    <row r="236" spans="1:12" ht="15.5" thickTop="1" thickBot="1">
      <c r="A236" s="239"/>
      <c r="B236" s="204"/>
      <c r="C236" s="204"/>
      <c r="D236" s="240"/>
      <c r="E236" s="241"/>
      <c r="F236" s="242"/>
      <c r="G236" s="200"/>
      <c r="H236" s="200"/>
      <c r="I236" s="243"/>
      <c r="J236" s="205"/>
      <c r="K236" s="206"/>
      <c r="L236" s="392"/>
    </row>
    <row r="237" spans="1:12" ht="15.5" thickTop="1" thickBot="1">
      <c r="A237" s="239"/>
      <c r="B237" s="204"/>
      <c r="C237" s="204"/>
      <c r="D237" s="240"/>
      <c r="E237" s="241"/>
      <c r="F237" s="242"/>
      <c r="G237" s="200"/>
      <c r="H237" s="200"/>
      <c r="I237" s="243"/>
      <c r="J237" s="205"/>
      <c r="K237" s="206"/>
      <c r="L237" s="392"/>
    </row>
    <row r="238" spans="1:12" ht="15.5" thickTop="1" thickBot="1">
      <c r="A238" s="239"/>
      <c r="B238" s="204"/>
      <c r="C238" s="204"/>
      <c r="D238" s="240"/>
      <c r="E238" s="241"/>
      <c r="F238" s="242"/>
      <c r="G238" s="200"/>
      <c r="H238" s="200"/>
      <c r="I238" s="243"/>
      <c r="J238" s="205"/>
      <c r="K238" s="206"/>
      <c r="L238" s="392"/>
    </row>
    <row r="239" spans="1:12" ht="15.5" thickTop="1" thickBot="1">
      <c r="A239" s="239"/>
      <c r="B239" s="204"/>
      <c r="C239" s="204"/>
      <c r="D239" s="240"/>
      <c r="E239" s="241"/>
      <c r="F239" s="242"/>
      <c r="G239" s="200"/>
      <c r="H239" s="200"/>
      <c r="I239" s="243"/>
      <c r="J239" s="205"/>
      <c r="K239" s="206"/>
      <c r="L239" s="392"/>
    </row>
    <row r="240" spans="1:12" ht="15.5" thickTop="1" thickBot="1">
      <c r="A240" s="239"/>
      <c r="B240" s="204"/>
      <c r="C240" s="204"/>
      <c r="D240" s="240"/>
      <c r="E240" s="241"/>
      <c r="F240" s="242"/>
      <c r="G240" s="200"/>
      <c r="H240" s="200"/>
      <c r="I240" s="243"/>
      <c r="J240" s="205"/>
      <c r="K240" s="206"/>
      <c r="L240" s="392"/>
    </row>
    <row r="241" spans="1:12" ht="15.5" thickTop="1" thickBot="1">
      <c r="A241" s="239"/>
      <c r="B241" s="204"/>
      <c r="C241" s="204"/>
      <c r="D241" s="240"/>
      <c r="E241" s="241"/>
      <c r="F241" s="242"/>
      <c r="G241" s="200"/>
      <c r="H241" s="200"/>
      <c r="I241" s="243"/>
      <c r="J241" s="205"/>
      <c r="K241" s="206"/>
      <c r="L241" s="392"/>
    </row>
    <row r="242" spans="1:12" ht="15.5" thickTop="1" thickBot="1">
      <c r="A242" s="239"/>
      <c r="B242" s="204"/>
      <c r="C242" s="204"/>
      <c r="D242" s="240"/>
      <c r="E242" s="241"/>
      <c r="F242" s="242"/>
      <c r="G242" s="200"/>
      <c r="H242" s="200"/>
      <c r="I242" s="243"/>
      <c r="J242" s="205"/>
      <c r="K242" s="206"/>
      <c r="L242" s="392"/>
    </row>
    <row r="243" spans="1:12" ht="15.5" thickTop="1" thickBot="1">
      <c r="A243" s="239"/>
      <c r="B243" s="204"/>
      <c r="C243" s="204"/>
      <c r="D243" s="240"/>
      <c r="E243" s="241"/>
      <c r="F243" s="242"/>
      <c r="G243" s="200"/>
      <c r="H243" s="200"/>
      <c r="I243" s="243"/>
      <c r="J243" s="205"/>
      <c r="K243" s="206"/>
      <c r="L243" s="392"/>
    </row>
    <row r="244" spans="1:12" ht="15.5" thickTop="1" thickBot="1">
      <c r="A244" s="239"/>
      <c r="B244" s="204"/>
      <c r="C244" s="204"/>
      <c r="D244" s="240"/>
      <c r="E244" s="241"/>
      <c r="F244" s="242"/>
      <c r="G244" s="200"/>
      <c r="H244" s="200"/>
      <c r="I244" s="243"/>
      <c r="J244" s="205"/>
      <c r="K244" s="206"/>
      <c r="L244" s="392"/>
    </row>
    <row r="245" spans="1:12" ht="15.5" thickTop="1" thickBot="1">
      <c r="A245" s="239"/>
      <c r="B245" s="204"/>
      <c r="C245" s="204"/>
      <c r="D245" s="240"/>
      <c r="E245" s="241"/>
      <c r="F245" s="242"/>
      <c r="G245" s="200"/>
      <c r="H245" s="200"/>
      <c r="I245" s="243"/>
      <c r="J245" s="205"/>
      <c r="K245" s="206"/>
      <c r="L245" s="392"/>
    </row>
    <row r="246" spans="1:12" ht="15.5" thickTop="1" thickBot="1">
      <c r="A246" s="239"/>
      <c r="B246" s="204"/>
      <c r="C246" s="204"/>
      <c r="D246" s="240"/>
      <c r="E246" s="241"/>
      <c r="F246" s="242"/>
      <c r="G246" s="200"/>
      <c r="H246" s="200"/>
      <c r="I246" s="243"/>
      <c r="J246" s="205"/>
      <c r="K246" s="206"/>
      <c r="L246" s="392"/>
    </row>
    <row r="247" spans="1:12" ht="15.5" thickTop="1" thickBot="1">
      <c r="A247" s="239"/>
      <c r="B247" s="204"/>
      <c r="C247" s="204"/>
      <c r="D247" s="240"/>
      <c r="E247" s="241"/>
      <c r="F247" s="242"/>
      <c r="G247" s="200"/>
      <c r="H247" s="200"/>
      <c r="I247" s="243"/>
      <c r="J247" s="205"/>
      <c r="K247" s="206"/>
      <c r="L247" s="392"/>
    </row>
    <row r="248" spans="1:12" ht="15.5" thickTop="1" thickBot="1">
      <c r="A248" s="239"/>
      <c r="B248" s="204"/>
      <c r="C248" s="204"/>
      <c r="D248" s="240"/>
      <c r="E248" s="241"/>
      <c r="F248" s="242"/>
      <c r="G248" s="200"/>
      <c r="H248" s="200"/>
      <c r="I248" s="243"/>
      <c r="J248" s="205"/>
      <c r="K248" s="206"/>
      <c r="L248" s="392"/>
    </row>
    <row r="249" spans="1:12" ht="15.5" thickTop="1" thickBot="1">
      <c r="A249" s="239"/>
      <c r="B249" s="204"/>
      <c r="C249" s="204"/>
      <c r="D249" s="240"/>
      <c r="E249" s="241"/>
      <c r="F249" s="242"/>
      <c r="G249" s="200"/>
      <c r="H249" s="200"/>
      <c r="I249" s="243"/>
      <c r="J249" s="205"/>
      <c r="K249" s="206"/>
      <c r="L249" s="392"/>
    </row>
    <row r="250" spans="1:12" ht="15.5" thickTop="1" thickBot="1">
      <c r="A250" s="239"/>
      <c r="B250" s="204"/>
      <c r="C250" s="204"/>
      <c r="D250" s="240"/>
      <c r="E250" s="241"/>
      <c r="F250" s="242"/>
      <c r="G250" s="200"/>
      <c r="H250" s="200"/>
      <c r="I250" s="243"/>
      <c r="J250" s="205"/>
      <c r="K250" s="206"/>
      <c r="L250" s="392"/>
    </row>
    <row r="251" spans="1:12" ht="15.5" thickTop="1" thickBot="1">
      <c r="A251" s="239"/>
      <c r="B251" s="204"/>
      <c r="C251" s="204"/>
      <c r="D251" s="240"/>
      <c r="E251" s="241"/>
      <c r="F251" s="242"/>
      <c r="G251" s="200"/>
      <c r="H251" s="200"/>
      <c r="I251" s="243"/>
      <c r="J251" s="205"/>
      <c r="K251" s="206"/>
      <c r="L251" s="392"/>
    </row>
    <row r="252" spans="1:12" ht="15.5" thickTop="1" thickBot="1">
      <c r="A252" s="239"/>
      <c r="B252" s="204"/>
      <c r="C252" s="204"/>
      <c r="D252" s="240"/>
      <c r="E252" s="241"/>
      <c r="F252" s="242"/>
      <c r="G252" s="200"/>
      <c r="H252" s="200"/>
      <c r="I252" s="243"/>
      <c r="J252" s="205"/>
      <c r="K252" s="206"/>
      <c r="L252" s="392"/>
    </row>
    <row r="253" spans="1:12" ht="15.5" thickTop="1" thickBot="1">
      <c r="A253" s="239"/>
      <c r="B253" s="204"/>
      <c r="C253" s="204"/>
      <c r="D253" s="240"/>
      <c r="E253" s="241"/>
      <c r="F253" s="242"/>
      <c r="G253" s="200"/>
      <c r="H253" s="200"/>
      <c r="I253" s="243"/>
      <c r="J253" s="205"/>
      <c r="K253" s="206"/>
      <c r="L253" s="392"/>
    </row>
    <row r="254" spans="1:12" ht="15.5" thickTop="1" thickBot="1">
      <c r="A254" s="239"/>
      <c r="B254" s="204"/>
      <c r="C254" s="204"/>
      <c r="D254" s="240"/>
      <c r="E254" s="241"/>
      <c r="F254" s="242"/>
      <c r="G254" s="200"/>
      <c r="H254" s="200"/>
      <c r="I254" s="243"/>
      <c r="J254" s="205"/>
      <c r="K254" s="206"/>
      <c r="L254" s="392"/>
    </row>
    <row r="255" spans="1:12" ht="15.5" thickTop="1" thickBot="1">
      <c r="A255" s="239"/>
      <c r="B255" s="204"/>
      <c r="C255" s="204"/>
      <c r="D255" s="240"/>
      <c r="E255" s="241"/>
      <c r="F255" s="242"/>
      <c r="G255" s="200"/>
      <c r="H255" s="200"/>
      <c r="I255" s="243"/>
      <c r="J255" s="205"/>
      <c r="K255" s="206"/>
      <c r="L255" s="392"/>
    </row>
    <row r="256" spans="1:12" ht="15.5" thickTop="1" thickBot="1">
      <c r="A256" s="239"/>
      <c r="B256" s="204"/>
      <c r="C256" s="204"/>
      <c r="D256" s="240"/>
      <c r="E256" s="241"/>
      <c r="F256" s="242"/>
      <c r="G256" s="200"/>
      <c r="H256" s="200"/>
      <c r="I256" s="243"/>
      <c r="J256" s="205"/>
      <c r="K256" s="206"/>
      <c r="L256" s="392"/>
    </row>
    <row r="257" spans="1:12" ht="15.5" thickTop="1" thickBot="1">
      <c r="A257" s="239"/>
      <c r="B257" s="204"/>
      <c r="C257" s="204"/>
      <c r="D257" s="240"/>
      <c r="E257" s="241"/>
      <c r="F257" s="242"/>
      <c r="G257" s="200"/>
      <c r="H257" s="200"/>
      <c r="I257" s="243"/>
      <c r="J257" s="205"/>
      <c r="K257" s="206"/>
      <c r="L257" s="392"/>
    </row>
    <row r="258" spans="1:12" ht="15.5" thickTop="1" thickBot="1">
      <c r="A258" s="239"/>
      <c r="B258" s="204"/>
      <c r="C258" s="204"/>
      <c r="D258" s="240"/>
      <c r="E258" s="241"/>
      <c r="F258" s="242"/>
      <c r="G258" s="200"/>
      <c r="H258" s="200"/>
      <c r="I258" s="243"/>
      <c r="J258" s="205"/>
      <c r="K258" s="206"/>
      <c r="L258" s="392"/>
    </row>
    <row r="259" spans="1:12" ht="15.5" thickTop="1" thickBot="1">
      <c r="A259" s="239"/>
      <c r="B259" s="204"/>
      <c r="C259" s="204"/>
      <c r="D259" s="240"/>
      <c r="E259" s="241"/>
      <c r="F259" s="242"/>
      <c r="G259" s="200"/>
      <c r="H259" s="200"/>
      <c r="I259" s="243"/>
      <c r="J259" s="205"/>
      <c r="K259" s="206"/>
      <c r="L259" s="392"/>
    </row>
    <row r="260" spans="1:12" ht="15.5" thickTop="1" thickBot="1">
      <c r="A260" s="239"/>
      <c r="B260" s="204"/>
      <c r="C260" s="204"/>
      <c r="D260" s="240"/>
      <c r="E260" s="241"/>
      <c r="F260" s="242"/>
      <c r="G260" s="200"/>
      <c r="H260" s="200"/>
      <c r="I260" s="243"/>
      <c r="J260" s="205"/>
      <c r="K260" s="206"/>
      <c r="L260" s="392"/>
    </row>
    <row r="261" spans="1:12" ht="15.5" thickTop="1" thickBot="1">
      <c r="A261" s="239"/>
      <c r="B261" s="204"/>
      <c r="C261" s="204"/>
      <c r="D261" s="240"/>
      <c r="E261" s="241"/>
      <c r="F261" s="242"/>
      <c r="G261" s="200"/>
      <c r="H261" s="200"/>
      <c r="I261" s="243"/>
      <c r="J261" s="205"/>
      <c r="K261" s="206"/>
      <c r="L261" s="392"/>
    </row>
    <row r="262" spans="1:12" ht="15.5" thickTop="1" thickBot="1">
      <c r="A262" s="239"/>
      <c r="B262" s="204"/>
      <c r="C262" s="204"/>
      <c r="D262" s="240"/>
      <c r="E262" s="241"/>
      <c r="F262" s="242"/>
      <c r="G262" s="200"/>
      <c r="H262" s="200"/>
      <c r="I262" s="243"/>
      <c r="J262" s="205"/>
      <c r="K262" s="206"/>
      <c r="L262" s="392"/>
    </row>
    <row r="263" spans="1:12" ht="15.5" thickTop="1" thickBot="1">
      <c r="A263" s="239"/>
      <c r="B263" s="204"/>
      <c r="C263" s="204"/>
      <c r="D263" s="240"/>
      <c r="E263" s="241"/>
      <c r="F263" s="242"/>
      <c r="G263" s="200"/>
      <c r="H263" s="200"/>
      <c r="I263" s="243"/>
      <c r="J263" s="205"/>
      <c r="K263" s="206"/>
      <c r="L263" s="392"/>
    </row>
    <row r="264" spans="1:12" ht="15.5" thickTop="1" thickBot="1">
      <c r="A264" s="239"/>
      <c r="B264" s="204"/>
      <c r="C264" s="204"/>
      <c r="D264" s="240"/>
      <c r="E264" s="241"/>
      <c r="F264" s="242"/>
      <c r="G264" s="200"/>
      <c r="H264" s="200"/>
      <c r="I264" s="243"/>
      <c r="J264" s="205"/>
      <c r="K264" s="206"/>
      <c r="L264" s="392"/>
    </row>
    <row r="265" spans="1:12" ht="15.5" thickTop="1" thickBot="1">
      <c r="A265" s="239"/>
      <c r="B265" s="204"/>
      <c r="C265" s="204"/>
      <c r="D265" s="240"/>
      <c r="E265" s="241"/>
      <c r="F265" s="242"/>
      <c r="G265" s="200"/>
      <c r="H265" s="200"/>
      <c r="I265" s="243"/>
      <c r="J265" s="205"/>
      <c r="K265" s="206"/>
      <c r="L265" s="392"/>
    </row>
    <row r="266" spans="1:12" ht="15.5" thickTop="1" thickBot="1">
      <c r="A266" s="239"/>
      <c r="B266" s="204"/>
      <c r="C266" s="204"/>
      <c r="D266" s="240"/>
      <c r="E266" s="241"/>
      <c r="F266" s="242"/>
      <c r="G266" s="200"/>
      <c r="H266" s="200"/>
      <c r="I266" s="243"/>
      <c r="J266" s="205"/>
      <c r="K266" s="206"/>
      <c r="L266" s="392"/>
    </row>
    <row r="267" spans="1:12" ht="15.5" thickTop="1" thickBot="1">
      <c r="A267" s="239"/>
      <c r="B267" s="204"/>
      <c r="C267" s="204"/>
      <c r="D267" s="240"/>
      <c r="E267" s="241"/>
      <c r="F267" s="242"/>
      <c r="G267" s="200"/>
      <c r="H267" s="200"/>
      <c r="I267" s="243"/>
      <c r="J267" s="205"/>
      <c r="K267" s="206"/>
      <c r="L267" s="392"/>
    </row>
    <row r="268" spans="1:12" ht="15.5" thickTop="1" thickBot="1">
      <c r="A268" s="239"/>
      <c r="B268" s="204"/>
      <c r="C268" s="204"/>
      <c r="D268" s="240"/>
      <c r="E268" s="241"/>
      <c r="F268" s="242"/>
      <c r="G268" s="200"/>
      <c r="H268" s="200"/>
      <c r="I268" s="243"/>
      <c r="J268" s="205"/>
      <c r="K268" s="206"/>
      <c r="L268" s="392"/>
    </row>
    <row r="269" spans="1:12" ht="15.5" thickTop="1" thickBot="1">
      <c r="A269" s="239"/>
      <c r="B269" s="204"/>
      <c r="C269" s="204"/>
      <c r="D269" s="240"/>
      <c r="E269" s="241"/>
      <c r="F269" s="242"/>
      <c r="G269" s="200"/>
      <c r="H269" s="200"/>
      <c r="I269" s="243"/>
      <c r="J269" s="205"/>
      <c r="K269" s="206"/>
      <c r="L269" s="392"/>
    </row>
    <row r="270" spans="1:12" ht="15.5" thickTop="1" thickBot="1">
      <c r="A270" s="239"/>
      <c r="B270" s="204"/>
      <c r="C270" s="204"/>
      <c r="D270" s="240"/>
      <c r="E270" s="241"/>
      <c r="F270" s="242"/>
      <c r="G270" s="200"/>
      <c r="H270" s="200"/>
      <c r="I270" s="243"/>
      <c r="J270" s="205"/>
      <c r="K270" s="206"/>
      <c r="L270" s="392"/>
    </row>
    <row r="271" spans="1:12" ht="15.5" thickTop="1" thickBot="1">
      <c r="A271" s="239"/>
      <c r="B271" s="204"/>
      <c r="C271" s="204"/>
      <c r="D271" s="240"/>
      <c r="E271" s="241"/>
      <c r="F271" s="242"/>
      <c r="G271" s="200"/>
      <c r="H271" s="200"/>
      <c r="I271" s="243"/>
      <c r="J271" s="205"/>
      <c r="K271" s="206"/>
      <c r="L271" s="392"/>
    </row>
    <row r="272" spans="1:12" ht="15.5" thickTop="1" thickBot="1">
      <c r="A272" s="239"/>
      <c r="B272" s="204"/>
      <c r="C272" s="204"/>
      <c r="D272" s="240"/>
      <c r="E272" s="241"/>
      <c r="F272" s="242"/>
      <c r="G272" s="200"/>
      <c r="H272" s="200"/>
      <c r="I272" s="243"/>
      <c r="J272" s="205"/>
      <c r="K272" s="206"/>
      <c r="L272" s="392"/>
    </row>
    <row r="273" spans="1:12" ht="15.5" thickTop="1" thickBot="1">
      <c r="A273" s="239"/>
      <c r="B273" s="204"/>
      <c r="C273" s="204"/>
      <c r="D273" s="240"/>
      <c r="E273" s="241"/>
      <c r="F273" s="242"/>
      <c r="G273" s="200"/>
      <c r="H273" s="200"/>
      <c r="I273" s="243"/>
      <c r="J273" s="205"/>
      <c r="K273" s="206"/>
      <c r="L273" s="392"/>
    </row>
    <row r="274" spans="1:12" ht="15.5" thickTop="1" thickBot="1">
      <c r="A274" s="239"/>
      <c r="B274" s="204"/>
      <c r="C274" s="204"/>
      <c r="D274" s="240"/>
      <c r="E274" s="241"/>
      <c r="F274" s="242"/>
      <c r="G274" s="200"/>
      <c r="H274" s="200"/>
      <c r="I274" s="243"/>
      <c r="J274" s="205"/>
      <c r="K274" s="206"/>
      <c r="L274" s="392"/>
    </row>
    <row r="275" spans="1:12" ht="15.5" thickTop="1" thickBot="1">
      <c r="A275" s="239"/>
      <c r="B275" s="204"/>
      <c r="C275" s="204"/>
      <c r="D275" s="240"/>
      <c r="E275" s="241"/>
      <c r="F275" s="242"/>
      <c r="G275" s="200"/>
      <c r="H275" s="200"/>
      <c r="I275" s="243"/>
      <c r="J275" s="205"/>
      <c r="K275" s="206"/>
      <c r="L275" s="392"/>
    </row>
    <row r="276" spans="1:12" ht="15.5" thickTop="1" thickBot="1">
      <c r="A276" s="239"/>
      <c r="B276" s="204"/>
      <c r="C276" s="204"/>
      <c r="D276" s="240"/>
      <c r="E276" s="241"/>
      <c r="F276" s="242"/>
      <c r="G276" s="200"/>
      <c r="H276" s="200"/>
      <c r="I276" s="243"/>
      <c r="J276" s="205"/>
      <c r="K276" s="206"/>
      <c r="L276" s="392"/>
    </row>
    <row r="277" spans="1:12" ht="15.5" thickTop="1" thickBot="1">
      <c r="A277" s="239"/>
      <c r="B277" s="204"/>
      <c r="C277" s="204"/>
      <c r="D277" s="240"/>
      <c r="E277" s="241"/>
      <c r="F277" s="242"/>
      <c r="G277" s="200"/>
      <c r="H277" s="200"/>
      <c r="I277" s="243"/>
      <c r="J277" s="205"/>
      <c r="K277" s="206"/>
      <c r="L277" s="392"/>
    </row>
    <row r="278" spans="1:12" ht="15.5" thickTop="1" thickBot="1">
      <c r="A278" s="239"/>
      <c r="B278" s="204"/>
      <c r="C278" s="204"/>
      <c r="D278" s="240"/>
      <c r="E278" s="241"/>
      <c r="F278" s="242"/>
      <c r="G278" s="200"/>
      <c r="H278" s="200"/>
      <c r="I278" s="243"/>
      <c r="J278" s="205"/>
      <c r="K278" s="206"/>
      <c r="L278" s="392"/>
    </row>
    <row r="279" spans="1:12" ht="15.5" thickTop="1" thickBot="1">
      <c r="A279" s="239"/>
      <c r="B279" s="204"/>
      <c r="C279" s="204"/>
      <c r="D279" s="240"/>
      <c r="E279" s="241"/>
      <c r="F279" s="242"/>
      <c r="G279" s="200"/>
      <c r="H279" s="200"/>
      <c r="I279" s="243"/>
      <c r="J279" s="205"/>
      <c r="K279" s="206"/>
      <c r="L279" s="392"/>
    </row>
    <row r="280" spans="1:12" ht="15.5" thickTop="1" thickBot="1">
      <c r="A280" s="239"/>
      <c r="B280" s="204"/>
      <c r="C280" s="204"/>
      <c r="D280" s="240"/>
      <c r="E280" s="241"/>
      <c r="F280" s="242"/>
      <c r="G280" s="200"/>
      <c r="H280" s="200"/>
      <c r="I280" s="243"/>
      <c r="J280" s="205"/>
      <c r="K280" s="206"/>
      <c r="L280" s="392"/>
    </row>
    <row r="281" spans="1:12" ht="15.5" thickTop="1" thickBot="1">
      <c r="A281" s="239"/>
      <c r="B281" s="204"/>
      <c r="C281" s="204"/>
      <c r="D281" s="240"/>
      <c r="E281" s="241"/>
      <c r="F281" s="242"/>
      <c r="G281" s="200"/>
      <c r="H281" s="200"/>
      <c r="I281" s="243"/>
      <c r="J281" s="205"/>
      <c r="K281" s="206"/>
      <c r="L281" s="392"/>
    </row>
    <row r="282" spans="1:12" ht="15.5" thickTop="1" thickBot="1">
      <c r="A282" s="239"/>
      <c r="B282" s="204"/>
      <c r="C282" s="204"/>
      <c r="D282" s="240"/>
      <c r="E282" s="241"/>
      <c r="F282" s="242"/>
      <c r="G282" s="200"/>
      <c r="H282" s="200"/>
      <c r="I282" s="243"/>
      <c r="J282" s="205"/>
      <c r="K282" s="206"/>
      <c r="L282" s="392"/>
    </row>
    <row r="283" spans="1:12" ht="15.5" thickTop="1" thickBot="1">
      <c r="A283" s="239"/>
      <c r="B283" s="204"/>
      <c r="C283" s="204"/>
      <c r="D283" s="240"/>
      <c r="E283" s="241"/>
      <c r="F283" s="242"/>
      <c r="G283" s="200"/>
      <c r="H283" s="200"/>
      <c r="I283" s="243"/>
      <c r="J283" s="205"/>
      <c r="K283" s="206"/>
      <c r="L283" s="392"/>
    </row>
    <row r="284" spans="1:12" ht="15.5" thickTop="1" thickBot="1">
      <c r="A284" s="239"/>
      <c r="B284" s="204"/>
      <c r="C284" s="204"/>
      <c r="D284" s="240"/>
      <c r="E284" s="241"/>
      <c r="F284" s="242"/>
      <c r="G284" s="200"/>
      <c r="H284" s="200"/>
      <c r="I284" s="243"/>
      <c r="J284" s="205"/>
      <c r="K284" s="206"/>
      <c r="L284" s="392"/>
    </row>
    <row r="285" spans="1:12" ht="15.5" thickTop="1" thickBot="1">
      <c r="A285" s="239"/>
      <c r="B285" s="204"/>
      <c r="C285" s="204"/>
      <c r="D285" s="240"/>
      <c r="E285" s="241"/>
      <c r="F285" s="242"/>
      <c r="G285" s="200"/>
      <c r="H285" s="200"/>
      <c r="I285" s="243"/>
      <c r="J285" s="205"/>
      <c r="K285" s="206"/>
      <c r="L285" s="392"/>
    </row>
    <row r="286" spans="1:12" ht="15.5" thickTop="1" thickBot="1">
      <c r="A286" s="239"/>
      <c r="B286" s="204"/>
      <c r="C286" s="204"/>
      <c r="D286" s="240"/>
      <c r="E286" s="241"/>
      <c r="F286" s="242"/>
      <c r="G286" s="200"/>
      <c r="H286" s="200"/>
      <c r="I286" s="243"/>
      <c r="J286" s="205"/>
      <c r="K286" s="206"/>
      <c r="L286" s="392"/>
    </row>
    <row r="287" spans="1:12" ht="15.5" thickTop="1" thickBot="1">
      <c r="A287" s="239"/>
      <c r="B287" s="204"/>
      <c r="C287" s="204"/>
      <c r="D287" s="240"/>
      <c r="E287" s="241"/>
      <c r="F287" s="242"/>
      <c r="G287" s="200"/>
      <c r="H287" s="200"/>
      <c r="I287" s="243"/>
      <c r="J287" s="205"/>
      <c r="K287" s="206"/>
      <c r="L287" s="392"/>
    </row>
    <row r="288" spans="1:12" ht="15.5" thickTop="1" thickBot="1">
      <c r="A288" s="239"/>
      <c r="B288" s="204"/>
      <c r="C288" s="204"/>
      <c r="D288" s="240"/>
      <c r="E288" s="241"/>
      <c r="F288" s="242"/>
      <c r="G288" s="200"/>
      <c r="H288" s="200"/>
      <c r="I288" s="243"/>
      <c r="J288" s="205"/>
      <c r="K288" s="206"/>
      <c r="L288" s="392"/>
    </row>
    <row r="289" spans="1:12" ht="15.5" thickTop="1" thickBot="1">
      <c r="A289" s="239"/>
      <c r="B289" s="204"/>
      <c r="C289" s="204"/>
      <c r="D289" s="240"/>
      <c r="E289" s="241"/>
      <c r="F289" s="242"/>
      <c r="G289" s="200"/>
      <c r="H289" s="200"/>
      <c r="I289" s="243"/>
      <c r="J289" s="205"/>
      <c r="K289" s="206"/>
      <c r="L289" s="392"/>
    </row>
    <row r="290" spans="1:12" ht="15.5" thickTop="1" thickBot="1">
      <c r="A290" s="239"/>
      <c r="B290" s="204"/>
      <c r="C290" s="204"/>
      <c r="D290" s="240"/>
      <c r="E290" s="241"/>
      <c r="F290" s="242"/>
      <c r="G290" s="200"/>
      <c r="H290" s="200"/>
      <c r="I290" s="243"/>
      <c r="J290" s="205"/>
      <c r="K290" s="206"/>
      <c r="L290" s="392"/>
    </row>
    <row r="291" spans="1:12" ht="15.5" thickTop="1" thickBot="1">
      <c r="A291" s="239"/>
      <c r="B291" s="204"/>
      <c r="C291" s="204"/>
      <c r="D291" s="240"/>
      <c r="E291" s="241"/>
      <c r="F291" s="242"/>
      <c r="G291" s="200"/>
      <c r="H291" s="200"/>
      <c r="I291" s="243"/>
      <c r="J291" s="205"/>
      <c r="K291" s="206"/>
      <c r="L291" s="392"/>
    </row>
    <row r="292" spans="1:12" ht="15.5" thickTop="1" thickBot="1">
      <c r="A292" s="239"/>
      <c r="B292" s="204"/>
      <c r="C292" s="204"/>
      <c r="D292" s="240"/>
      <c r="E292" s="241"/>
      <c r="F292" s="242"/>
      <c r="G292" s="200"/>
      <c r="H292" s="200"/>
      <c r="I292" s="243"/>
      <c r="J292" s="205"/>
      <c r="K292" s="206"/>
      <c r="L292" s="392"/>
    </row>
    <row r="293" spans="1:12" ht="15.5" thickTop="1" thickBot="1">
      <c r="A293" s="239"/>
      <c r="B293" s="204"/>
      <c r="C293" s="204"/>
      <c r="D293" s="240"/>
      <c r="E293" s="241"/>
      <c r="F293" s="242"/>
      <c r="G293" s="200"/>
      <c r="H293" s="200"/>
      <c r="I293" s="243"/>
      <c r="J293" s="205"/>
      <c r="K293" s="206"/>
      <c r="L293" s="392"/>
    </row>
    <row r="294" spans="1:12" ht="15.5" thickTop="1" thickBot="1">
      <c r="A294" s="239"/>
      <c r="B294" s="204"/>
      <c r="C294" s="204"/>
      <c r="D294" s="240"/>
      <c r="E294" s="241"/>
      <c r="F294" s="242"/>
      <c r="G294" s="200"/>
      <c r="H294" s="200"/>
      <c r="I294" s="243"/>
      <c r="J294" s="205"/>
      <c r="K294" s="206"/>
      <c r="L294" s="392"/>
    </row>
    <row r="295" spans="1:12" ht="15.5" thickTop="1" thickBot="1">
      <c r="A295" s="239"/>
      <c r="B295" s="204"/>
      <c r="C295" s="204"/>
      <c r="D295" s="240"/>
      <c r="E295" s="241"/>
      <c r="F295" s="242"/>
      <c r="G295" s="200"/>
      <c r="H295" s="200"/>
      <c r="I295" s="243"/>
      <c r="J295" s="205"/>
      <c r="K295" s="206"/>
      <c r="L295" s="392"/>
    </row>
    <row r="296" spans="1:12" ht="15.5" thickTop="1" thickBot="1">
      <c r="A296" s="239"/>
      <c r="B296" s="204"/>
      <c r="C296" s="204"/>
      <c r="D296" s="240"/>
      <c r="E296" s="241"/>
      <c r="F296" s="242"/>
      <c r="G296" s="200"/>
      <c r="H296" s="200"/>
      <c r="I296" s="243"/>
      <c r="J296" s="205"/>
      <c r="K296" s="206"/>
      <c r="L296" s="392"/>
    </row>
    <row r="297" spans="1:12" ht="15.5" thickTop="1" thickBot="1">
      <c r="A297" s="239"/>
      <c r="B297" s="204"/>
      <c r="C297" s="204"/>
      <c r="D297" s="240"/>
      <c r="E297" s="241"/>
      <c r="F297" s="242"/>
      <c r="G297" s="200"/>
      <c r="H297" s="200"/>
      <c r="I297" s="243"/>
      <c r="J297" s="205"/>
      <c r="K297" s="206"/>
      <c r="L297" s="392"/>
    </row>
    <row r="298" spans="1:12" ht="15.5" thickTop="1" thickBot="1">
      <c r="A298" s="239"/>
      <c r="B298" s="204"/>
      <c r="C298" s="204"/>
      <c r="D298" s="240"/>
      <c r="E298" s="241"/>
      <c r="F298" s="242"/>
      <c r="G298" s="200"/>
      <c r="H298" s="200"/>
      <c r="I298" s="243"/>
      <c r="J298" s="205"/>
      <c r="K298" s="206"/>
      <c r="L298" s="392"/>
    </row>
    <row r="299" spans="1:12" ht="15.5" thickTop="1" thickBot="1">
      <c r="A299" s="239"/>
      <c r="B299" s="204"/>
      <c r="C299" s="204"/>
      <c r="D299" s="240"/>
      <c r="E299" s="241"/>
      <c r="F299" s="242"/>
      <c r="G299" s="200"/>
      <c r="H299" s="200"/>
      <c r="I299" s="243"/>
      <c r="J299" s="205"/>
      <c r="K299" s="206"/>
      <c r="L299" s="392"/>
    </row>
    <row r="300" spans="1:12" ht="15.5" thickTop="1" thickBot="1">
      <c r="A300" s="239"/>
      <c r="B300" s="204"/>
      <c r="C300" s="204"/>
      <c r="D300" s="240"/>
      <c r="E300" s="241"/>
      <c r="F300" s="242"/>
      <c r="G300" s="200"/>
      <c r="H300" s="200"/>
      <c r="I300" s="243"/>
      <c r="J300" s="205"/>
      <c r="K300" s="206"/>
      <c r="L300" s="392"/>
    </row>
    <row r="301" spans="1:12" ht="15.5" thickTop="1" thickBot="1">
      <c r="A301" s="239"/>
      <c r="B301" s="204"/>
      <c r="C301" s="204"/>
      <c r="D301" s="240"/>
      <c r="E301" s="241"/>
      <c r="F301" s="242"/>
      <c r="G301" s="200"/>
      <c r="H301" s="200"/>
      <c r="I301" s="243"/>
      <c r="J301" s="205"/>
      <c r="K301" s="206"/>
      <c r="L301" s="392"/>
    </row>
    <row r="302" spans="1:12" ht="15.5" thickTop="1" thickBot="1">
      <c r="A302" s="239"/>
      <c r="B302" s="204"/>
      <c r="C302" s="204"/>
      <c r="D302" s="240"/>
      <c r="E302" s="241"/>
      <c r="F302" s="242"/>
      <c r="G302" s="200"/>
      <c r="H302" s="200"/>
      <c r="I302" s="243"/>
      <c r="J302" s="205"/>
      <c r="K302" s="206"/>
      <c r="L302" s="392"/>
    </row>
    <row r="303" spans="1:12" ht="15.5" thickTop="1" thickBot="1">
      <c r="A303" s="239"/>
      <c r="B303" s="204"/>
      <c r="C303" s="204"/>
      <c r="D303" s="240"/>
      <c r="E303" s="241"/>
      <c r="F303" s="242"/>
      <c r="G303" s="200"/>
      <c r="H303" s="200"/>
      <c r="I303" s="243"/>
      <c r="J303" s="205"/>
      <c r="K303" s="206"/>
      <c r="L303" s="392"/>
    </row>
    <row r="304" spans="1:12" ht="15.5" thickTop="1" thickBot="1">
      <c r="A304" s="239"/>
      <c r="B304" s="204"/>
      <c r="C304" s="204"/>
      <c r="D304" s="240"/>
      <c r="E304" s="241"/>
      <c r="F304" s="242"/>
      <c r="G304" s="200"/>
      <c r="H304" s="200"/>
      <c r="I304" s="243"/>
      <c r="J304" s="205"/>
      <c r="K304" s="206"/>
      <c r="L304" s="392"/>
    </row>
    <row r="305" spans="1:12" ht="15.5" thickTop="1" thickBot="1">
      <c r="A305" s="239"/>
      <c r="B305" s="204"/>
      <c r="C305" s="204"/>
      <c r="D305" s="240"/>
      <c r="E305" s="241"/>
      <c r="F305" s="242"/>
      <c r="G305" s="200"/>
      <c r="H305" s="200"/>
      <c r="I305" s="243"/>
      <c r="J305" s="205"/>
      <c r="K305" s="206"/>
      <c r="L305" s="392"/>
    </row>
    <row r="306" spans="1:12" ht="15.5" thickTop="1" thickBot="1">
      <c r="A306" s="239"/>
      <c r="B306" s="204"/>
      <c r="C306" s="204"/>
      <c r="D306" s="240"/>
      <c r="E306" s="241"/>
      <c r="F306" s="242"/>
      <c r="G306" s="200"/>
      <c r="H306" s="200"/>
      <c r="I306" s="243"/>
      <c r="J306" s="205"/>
      <c r="K306" s="206"/>
      <c r="L306" s="392"/>
    </row>
    <row r="307" spans="1:12" ht="15.5" thickTop="1" thickBot="1">
      <c r="A307" s="239"/>
      <c r="B307" s="204"/>
      <c r="C307" s="204"/>
      <c r="D307" s="240"/>
      <c r="E307" s="241"/>
      <c r="F307" s="242"/>
      <c r="G307" s="200"/>
      <c r="H307" s="200"/>
      <c r="I307" s="243"/>
      <c r="J307" s="205"/>
      <c r="K307" s="206"/>
      <c r="L307" s="392"/>
    </row>
    <row r="308" spans="1:12" ht="15.5" thickTop="1" thickBot="1">
      <c r="A308" s="239"/>
      <c r="B308" s="204"/>
      <c r="C308" s="204"/>
      <c r="D308" s="240"/>
      <c r="E308" s="241"/>
      <c r="F308" s="242"/>
      <c r="G308" s="200"/>
      <c r="H308" s="200"/>
      <c r="I308" s="243"/>
      <c r="J308" s="205"/>
      <c r="K308" s="206"/>
      <c r="L308" s="392"/>
    </row>
    <row r="309" spans="1:12" ht="15.5" thickTop="1" thickBot="1">
      <c r="A309" s="239"/>
      <c r="B309" s="204"/>
      <c r="C309" s="204"/>
      <c r="D309" s="240"/>
      <c r="E309" s="241"/>
      <c r="F309" s="242"/>
      <c r="G309" s="200"/>
      <c r="H309" s="200"/>
      <c r="I309" s="243"/>
      <c r="J309" s="205"/>
      <c r="K309" s="206"/>
      <c r="L309" s="392"/>
    </row>
    <row r="310" spans="1:12" ht="15.5" thickTop="1" thickBot="1">
      <c r="A310" s="239"/>
      <c r="B310" s="204"/>
      <c r="C310" s="204"/>
      <c r="D310" s="240"/>
      <c r="E310" s="241"/>
      <c r="F310" s="242"/>
      <c r="G310" s="200"/>
      <c r="H310" s="200"/>
      <c r="I310" s="243"/>
      <c r="J310" s="205"/>
      <c r="K310" s="206"/>
      <c r="L310" s="392"/>
    </row>
    <row r="311" spans="1:12" ht="15.5" thickTop="1" thickBot="1">
      <c r="A311" s="239"/>
      <c r="B311" s="204"/>
      <c r="C311" s="204"/>
      <c r="D311" s="240"/>
      <c r="E311" s="241"/>
      <c r="F311" s="242"/>
      <c r="G311" s="200"/>
      <c r="H311" s="200"/>
      <c r="I311" s="243"/>
      <c r="J311" s="205"/>
      <c r="K311" s="206"/>
      <c r="L311" s="392"/>
    </row>
    <row r="312" spans="1:12" ht="15.5" thickTop="1" thickBot="1">
      <c r="A312" s="239"/>
      <c r="B312" s="204"/>
      <c r="C312" s="204"/>
      <c r="D312" s="240"/>
      <c r="E312" s="241"/>
      <c r="F312" s="242"/>
      <c r="G312" s="200"/>
      <c r="H312" s="200"/>
      <c r="I312" s="243"/>
      <c r="J312" s="205"/>
      <c r="K312" s="206"/>
      <c r="L312" s="392"/>
    </row>
    <row r="313" spans="1:12" ht="15.5" thickTop="1" thickBot="1">
      <c r="A313" s="239"/>
      <c r="B313" s="204"/>
      <c r="C313" s="204"/>
      <c r="D313" s="240"/>
      <c r="E313" s="241"/>
      <c r="F313" s="242"/>
      <c r="G313" s="200"/>
      <c r="H313" s="200"/>
      <c r="I313" s="243"/>
      <c r="J313" s="205"/>
      <c r="K313" s="206"/>
      <c r="L313" s="392"/>
    </row>
    <row r="314" spans="1:12" ht="15.5" thickTop="1" thickBot="1">
      <c r="A314" s="239"/>
      <c r="B314" s="204"/>
      <c r="C314" s="204"/>
      <c r="D314" s="240"/>
      <c r="E314" s="241"/>
      <c r="F314" s="242"/>
      <c r="G314" s="200"/>
      <c r="H314" s="200"/>
      <c r="I314" s="243"/>
      <c r="J314" s="205"/>
      <c r="K314" s="206"/>
      <c r="L314" s="392"/>
    </row>
    <row r="315" spans="1:12" ht="15.5" thickTop="1" thickBot="1">
      <c r="A315" s="239"/>
      <c r="B315" s="204"/>
      <c r="C315" s="204"/>
      <c r="D315" s="240"/>
      <c r="E315" s="241"/>
      <c r="F315" s="242"/>
      <c r="G315" s="200"/>
      <c r="H315" s="200"/>
      <c r="I315" s="243"/>
      <c r="J315" s="205"/>
      <c r="K315" s="206"/>
      <c r="L315" s="392"/>
    </row>
    <row r="316" spans="1:12" ht="15.5" thickTop="1" thickBot="1">
      <c r="A316" s="239"/>
      <c r="B316" s="204"/>
      <c r="C316" s="204"/>
      <c r="D316" s="240"/>
      <c r="E316" s="241"/>
      <c r="F316" s="242"/>
      <c r="G316" s="200"/>
      <c r="H316" s="200"/>
      <c r="I316" s="243"/>
      <c r="J316" s="205"/>
      <c r="K316" s="206"/>
      <c r="L316" s="392"/>
    </row>
    <row r="317" spans="1:12" ht="15.5" thickTop="1" thickBot="1">
      <c r="A317" s="239"/>
      <c r="B317" s="204"/>
      <c r="C317" s="204"/>
      <c r="D317" s="240"/>
      <c r="E317" s="241"/>
      <c r="F317" s="242"/>
      <c r="G317" s="200"/>
      <c r="H317" s="200"/>
      <c r="I317" s="243"/>
      <c r="J317" s="205"/>
      <c r="K317" s="206"/>
      <c r="L317" s="392"/>
    </row>
    <row r="318" spans="1:12" ht="15.5" thickTop="1" thickBot="1">
      <c r="A318" s="239"/>
      <c r="B318" s="204"/>
      <c r="C318" s="204"/>
      <c r="D318" s="240"/>
      <c r="E318" s="241"/>
      <c r="F318" s="242"/>
      <c r="G318" s="200"/>
      <c r="H318" s="200"/>
      <c r="I318" s="243"/>
      <c r="J318" s="205"/>
      <c r="K318" s="206"/>
      <c r="L318" s="392"/>
    </row>
    <row r="319" spans="1:12" ht="15.5" thickTop="1" thickBot="1">
      <c r="A319" s="239"/>
      <c r="B319" s="204"/>
      <c r="C319" s="204"/>
      <c r="D319" s="240"/>
      <c r="E319" s="241"/>
      <c r="F319" s="242"/>
      <c r="G319" s="200"/>
      <c r="H319" s="200"/>
      <c r="I319" s="243"/>
      <c r="J319" s="205"/>
      <c r="K319" s="206"/>
      <c r="L319" s="392"/>
    </row>
    <row r="320" spans="1:12" ht="15.5" thickTop="1" thickBot="1">
      <c r="A320" s="239"/>
      <c r="B320" s="204"/>
      <c r="C320" s="204"/>
      <c r="D320" s="240"/>
      <c r="E320" s="241"/>
      <c r="F320" s="242"/>
      <c r="G320" s="200"/>
      <c r="H320" s="200"/>
      <c r="I320" s="243"/>
      <c r="J320" s="205"/>
      <c r="K320" s="206"/>
      <c r="L320" s="392"/>
    </row>
    <row r="321" spans="1:12" ht="15.5" thickTop="1" thickBot="1">
      <c r="A321" s="239"/>
      <c r="B321" s="204"/>
      <c r="C321" s="204"/>
      <c r="D321" s="240"/>
      <c r="E321" s="241"/>
      <c r="F321" s="242"/>
      <c r="G321" s="200"/>
      <c r="H321" s="200"/>
      <c r="I321" s="243"/>
      <c r="J321" s="205"/>
      <c r="K321" s="206"/>
      <c r="L321" s="392"/>
    </row>
    <row r="322" spans="1:12" ht="15.5" thickTop="1" thickBot="1">
      <c r="A322" s="239"/>
      <c r="B322" s="204"/>
      <c r="C322" s="204"/>
      <c r="D322" s="240"/>
      <c r="E322" s="241"/>
      <c r="F322" s="242"/>
      <c r="G322" s="200"/>
      <c r="H322" s="200"/>
      <c r="I322" s="243"/>
      <c r="J322" s="205"/>
      <c r="K322" s="206"/>
      <c r="L322" s="392"/>
    </row>
    <row r="323" spans="1:12" ht="15.5" thickTop="1" thickBot="1">
      <c r="A323" s="239"/>
      <c r="B323" s="204"/>
      <c r="C323" s="204"/>
      <c r="D323" s="240"/>
      <c r="E323" s="241"/>
      <c r="F323" s="242"/>
      <c r="G323" s="200"/>
      <c r="H323" s="200"/>
      <c r="I323" s="243"/>
      <c r="J323" s="205"/>
      <c r="K323" s="206"/>
      <c r="L323" s="392"/>
    </row>
    <row r="324" spans="1:12" ht="15.5" thickTop="1" thickBot="1">
      <c r="A324" s="239"/>
      <c r="B324" s="204"/>
      <c r="C324" s="204"/>
      <c r="D324" s="240"/>
      <c r="E324" s="241"/>
      <c r="F324" s="242"/>
      <c r="G324" s="200"/>
      <c r="H324" s="200"/>
      <c r="I324" s="243"/>
      <c r="J324" s="205"/>
      <c r="K324" s="206"/>
      <c r="L324" s="392"/>
    </row>
    <row r="325" spans="1:12" ht="15.5" thickTop="1" thickBot="1">
      <c r="A325" s="239"/>
      <c r="B325" s="204"/>
      <c r="C325" s="204"/>
      <c r="D325" s="240"/>
      <c r="E325" s="241"/>
      <c r="F325" s="242"/>
      <c r="G325" s="200"/>
      <c r="H325" s="200"/>
      <c r="I325" s="243"/>
      <c r="J325" s="205"/>
      <c r="K325" s="206"/>
      <c r="L325" s="392"/>
    </row>
    <row r="326" spans="1:12" ht="15.5" thickTop="1" thickBot="1">
      <c r="A326" s="239"/>
      <c r="B326" s="204"/>
      <c r="C326" s="204"/>
      <c r="D326" s="240"/>
      <c r="E326" s="241"/>
      <c r="F326" s="242"/>
      <c r="G326" s="200"/>
      <c r="H326" s="200"/>
      <c r="I326" s="243"/>
      <c r="J326" s="205"/>
      <c r="K326" s="206"/>
      <c r="L326" s="392"/>
    </row>
    <row r="327" spans="1:12" ht="15.5" thickTop="1" thickBot="1">
      <c r="A327" s="239"/>
      <c r="B327" s="204"/>
      <c r="C327" s="204"/>
      <c r="D327" s="240"/>
      <c r="E327" s="241"/>
      <c r="F327" s="242"/>
      <c r="G327" s="200"/>
      <c r="H327" s="200"/>
      <c r="I327" s="243"/>
      <c r="J327" s="205"/>
      <c r="K327" s="206"/>
      <c r="L327" s="392"/>
    </row>
    <row r="328" spans="1:12" ht="15.5" thickTop="1" thickBot="1">
      <c r="A328" s="239"/>
      <c r="B328" s="204"/>
      <c r="C328" s="204"/>
      <c r="D328" s="240"/>
      <c r="E328" s="241"/>
      <c r="F328" s="242"/>
      <c r="G328" s="200"/>
      <c r="H328" s="200"/>
      <c r="I328" s="243"/>
      <c r="J328" s="205"/>
      <c r="K328" s="206"/>
      <c r="L328" s="392"/>
    </row>
    <row r="329" spans="1:12" ht="15.5" thickTop="1" thickBot="1">
      <c r="A329" s="239"/>
      <c r="B329" s="204"/>
      <c r="C329" s="204"/>
      <c r="D329" s="240"/>
      <c r="E329" s="241"/>
      <c r="F329" s="242"/>
      <c r="G329" s="200"/>
      <c r="H329" s="200"/>
      <c r="I329" s="243"/>
      <c r="J329" s="205"/>
      <c r="K329" s="206"/>
      <c r="L329" s="392"/>
    </row>
    <row r="330" spans="1:12" ht="15.5" thickTop="1" thickBot="1">
      <c r="A330" s="239"/>
      <c r="B330" s="204"/>
      <c r="C330" s="204"/>
      <c r="D330" s="240"/>
      <c r="E330" s="241"/>
      <c r="F330" s="242"/>
      <c r="G330" s="200"/>
      <c r="H330" s="200"/>
      <c r="I330" s="243"/>
      <c r="J330" s="205"/>
      <c r="K330" s="206"/>
      <c r="L330" s="392"/>
    </row>
    <row r="331" spans="1:12" ht="15.5" thickTop="1" thickBot="1">
      <c r="A331" s="239"/>
      <c r="B331" s="204"/>
      <c r="C331" s="204"/>
      <c r="D331" s="240"/>
      <c r="E331" s="241"/>
      <c r="F331" s="242"/>
      <c r="G331" s="200"/>
      <c r="H331" s="200"/>
      <c r="I331" s="243"/>
      <c r="J331" s="205"/>
      <c r="K331" s="206"/>
      <c r="L331" s="392"/>
    </row>
    <row r="332" spans="1:12" ht="15.5" thickTop="1" thickBot="1">
      <c r="A332" s="239"/>
      <c r="B332" s="204"/>
      <c r="C332" s="204"/>
      <c r="D332" s="240"/>
      <c r="E332" s="241"/>
      <c r="F332" s="242"/>
      <c r="G332" s="200"/>
      <c r="H332" s="200"/>
      <c r="I332" s="243"/>
      <c r="J332" s="205"/>
      <c r="K332" s="206"/>
      <c r="L332" s="392"/>
    </row>
    <row r="333" spans="1:12" ht="15.5" thickTop="1" thickBot="1">
      <c r="A333" s="239"/>
      <c r="B333" s="204"/>
      <c r="C333" s="204"/>
      <c r="D333" s="240"/>
      <c r="E333" s="241"/>
      <c r="F333" s="242"/>
      <c r="G333" s="200"/>
      <c r="H333" s="200"/>
      <c r="I333" s="243"/>
      <c r="J333" s="205"/>
      <c r="K333" s="206"/>
      <c r="L333" s="392"/>
    </row>
    <row r="334" spans="1:12" ht="15.5" thickTop="1" thickBot="1">
      <c r="A334" s="239"/>
      <c r="B334" s="204"/>
      <c r="C334" s="204"/>
      <c r="D334" s="240"/>
      <c r="E334" s="241"/>
      <c r="F334" s="242"/>
      <c r="G334" s="200"/>
      <c r="H334" s="200"/>
      <c r="I334" s="243"/>
      <c r="J334" s="205"/>
      <c r="K334" s="206"/>
      <c r="L334" s="392"/>
    </row>
    <row r="335" spans="1:12" ht="15.5" thickTop="1" thickBot="1">
      <c r="A335" s="239"/>
      <c r="B335" s="204"/>
      <c r="C335" s="204"/>
      <c r="D335" s="240"/>
      <c r="E335" s="241"/>
      <c r="F335" s="242"/>
      <c r="G335" s="200"/>
      <c r="H335" s="200"/>
      <c r="I335" s="243"/>
      <c r="J335" s="205"/>
      <c r="K335" s="206"/>
      <c r="L335" s="392"/>
    </row>
    <row r="336" spans="1:12" ht="15.5" thickTop="1" thickBot="1">
      <c r="A336" s="239"/>
      <c r="B336" s="204"/>
      <c r="C336" s="204"/>
      <c r="D336" s="240"/>
      <c r="E336" s="241"/>
      <c r="F336" s="242"/>
      <c r="G336" s="200"/>
      <c r="H336" s="200"/>
      <c r="I336" s="243"/>
      <c r="J336" s="205"/>
      <c r="K336" s="206"/>
      <c r="L336" s="392"/>
    </row>
    <row r="337" spans="1:12" ht="15.5" thickTop="1" thickBot="1">
      <c r="A337" s="239"/>
      <c r="B337" s="204"/>
      <c r="C337" s="204"/>
      <c r="D337" s="240"/>
      <c r="E337" s="241"/>
      <c r="F337" s="242"/>
      <c r="G337" s="200"/>
      <c r="H337" s="200"/>
      <c r="I337" s="243"/>
      <c r="J337" s="205"/>
      <c r="K337" s="206"/>
      <c r="L337" s="392"/>
    </row>
    <row r="338" spans="1:12" ht="15.5" thickTop="1" thickBot="1">
      <c r="A338" s="239"/>
      <c r="B338" s="204"/>
      <c r="C338" s="204"/>
      <c r="D338" s="240"/>
      <c r="E338" s="241"/>
      <c r="F338" s="242"/>
      <c r="G338" s="200"/>
      <c r="H338" s="200"/>
      <c r="I338" s="243"/>
      <c r="J338" s="205"/>
      <c r="K338" s="206"/>
      <c r="L338" s="392"/>
    </row>
    <row r="339" spans="1:12" ht="15.5" thickTop="1" thickBot="1">
      <c r="A339" s="239"/>
      <c r="B339" s="204"/>
      <c r="C339" s="204"/>
      <c r="D339" s="240"/>
      <c r="E339" s="241"/>
      <c r="F339" s="242"/>
      <c r="G339" s="200"/>
      <c r="H339" s="200"/>
      <c r="I339" s="243"/>
      <c r="J339" s="205"/>
      <c r="K339" s="206"/>
      <c r="L339" s="392"/>
    </row>
    <row r="340" spans="1:12" ht="15.5" thickTop="1" thickBot="1">
      <c r="A340" s="239"/>
      <c r="B340" s="204"/>
      <c r="C340" s="204"/>
      <c r="D340" s="240"/>
      <c r="E340" s="241"/>
      <c r="F340" s="242"/>
      <c r="G340" s="200"/>
      <c r="H340" s="200"/>
      <c r="I340" s="243"/>
      <c r="J340" s="205"/>
      <c r="K340" s="206"/>
      <c r="L340" s="392"/>
    </row>
    <row r="341" spans="1:12" ht="15.5" thickTop="1" thickBot="1">
      <c r="A341" s="239"/>
      <c r="B341" s="204"/>
      <c r="C341" s="204"/>
      <c r="D341" s="240"/>
      <c r="E341" s="241"/>
      <c r="F341" s="242"/>
      <c r="G341" s="200"/>
      <c r="H341" s="200"/>
      <c r="I341" s="243"/>
      <c r="J341" s="205"/>
      <c r="K341" s="206"/>
      <c r="L341" s="392"/>
    </row>
    <row r="342" spans="1:12" ht="15.5" thickTop="1" thickBot="1">
      <c r="A342" s="239"/>
      <c r="B342" s="204"/>
      <c r="C342" s="204"/>
      <c r="D342" s="240"/>
      <c r="E342" s="241"/>
      <c r="F342" s="242"/>
      <c r="G342" s="200"/>
      <c r="H342" s="200"/>
      <c r="I342" s="243"/>
      <c r="J342" s="205"/>
      <c r="K342" s="206"/>
      <c r="L342" s="392"/>
    </row>
    <row r="343" spans="1:12" ht="15.5" thickTop="1" thickBot="1">
      <c r="A343" s="239"/>
      <c r="B343" s="204"/>
      <c r="C343" s="204"/>
      <c r="D343" s="240"/>
      <c r="E343" s="241"/>
      <c r="F343" s="242"/>
      <c r="G343" s="200"/>
      <c r="H343" s="200"/>
      <c r="I343" s="243"/>
      <c r="J343" s="205"/>
      <c r="K343" s="206"/>
      <c r="L343" s="392"/>
    </row>
    <row r="344" spans="1:12" ht="15.5" thickTop="1" thickBot="1">
      <c r="A344" s="239"/>
      <c r="B344" s="204"/>
      <c r="C344" s="204"/>
      <c r="D344" s="240"/>
      <c r="E344" s="241"/>
      <c r="F344" s="242"/>
      <c r="G344" s="200"/>
      <c r="H344" s="200"/>
      <c r="I344" s="243"/>
      <c r="J344" s="205"/>
      <c r="K344" s="206"/>
      <c r="L344" s="392"/>
    </row>
    <row r="345" spans="1:12" ht="15.5" thickTop="1" thickBot="1">
      <c r="A345" s="239"/>
      <c r="B345" s="204"/>
      <c r="C345" s="204"/>
      <c r="D345" s="240"/>
      <c r="E345" s="241"/>
      <c r="F345" s="242"/>
      <c r="G345" s="200"/>
      <c r="H345" s="200"/>
      <c r="I345" s="243"/>
      <c r="J345" s="205"/>
      <c r="K345" s="206"/>
      <c r="L345" s="392"/>
    </row>
    <row r="346" spans="1:12" ht="15.5" thickTop="1" thickBot="1">
      <c r="A346" s="239"/>
      <c r="B346" s="204"/>
      <c r="C346" s="204"/>
      <c r="D346" s="240"/>
      <c r="E346" s="241"/>
      <c r="F346" s="242"/>
      <c r="G346" s="200"/>
      <c r="H346" s="200"/>
      <c r="I346" s="243"/>
      <c r="J346" s="205"/>
      <c r="K346" s="206"/>
      <c r="L346" s="392"/>
    </row>
    <row r="347" spans="1:12" ht="15.5" thickTop="1" thickBot="1">
      <c r="A347" s="239"/>
      <c r="B347" s="204"/>
      <c r="C347" s="204"/>
      <c r="D347" s="240"/>
      <c r="E347" s="241"/>
      <c r="F347" s="242"/>
      <c r="G347" s="200"/>
      <c r="H347" s="200"/>
      <c r="I347" s="243"/>
      <c r="J347" s="205"/>
      <c r="K347" s="206"/>
      <c r="L347" s="392"/>
    </row>
    <row r="348" spans="1:12" ht="15.5" thickTop="1" thickBot="1">
      <c r="A348" s="239"/>
      <c r="B348" s="204"/>
      <c r="C348" s="204"/>
      <c r="D348" s="240"/>
      <c r="E348" s="241"/>
      <c r="F348" s="242"/>
      <c r="G348" s="200"/>
      <c r="H348" s="200"/>
      <c r="I348" s="243"/>
      <c r="J348" s="205"/>
      <c r="K348" s="206"/>
      <c r="L348" s="392"/>
    </row>
    <row r="349" spans="1:12" ht="15.5" thickTop="1" thickBot="1">
      <c r="A349" s="239"/>
      <c r="B349" s="204"/>
      <c r="C349" s="204"/>
      <c r="D349" s="240"/>
      <c r="E349" s="241"/>
      <c r="F349" s="242"/>
      <c r="G349" s="200"/>
      <c r="H349" s="200"/>
      <c r="I349" s="243"/>
      <c r="J349" s="205"/>
      <c r="K349" s="206"/>
      <c r="L349" s="392"/>
    </row>
    <row r="350" spans="1:12" ht="15.5" thickTop="1" thickBot="1">
      <c r="A350" s="239"/>
      <c r="B350" s="204"/>
      <c r="C350" s="204"/>
      <c r="D350" s="240"/>
      <c r="E350" s="241"/>
      <c r="F350" s="242"/>
      <c r="G350" s="200"/>
      <c r="H350" s="200"/>
      <c r="I350" s="243"/>
      <c r="J350" s="205"/>
      <c r="K350" s="206"/>
      <c r="L350" s="392"/>
    </row>
    <row r="351" spans="1:12" ht="15.5" thickTop="1" thickBot="1">
      <c r="A351" s="239"/>
      <c r="B351" s="204"/>
      <c r="C351" s="204"/>
      <c r="D351" s="240"/>
      <c r="E351" s="241"/>
      <c r="F351" s="242"/>
      <c r="G351" s="200"/>
      <c r="H351" s="200"/>
      <c r="I351" s="243"/>
      <c r="J351" s="205"/>
      <c r="K351" s="206"/>
      <c r="L351" s="392"/>
    </row>
    <row r="352" spans="1:12" ht="15.5" thickTop="1" thickBot="1">
      <c r="A352" s="239"/>
      <c r="B352" s="204"/>
      <c r="C352" s="204"/>
      <c r="D352" s="240"/>
      <c r="E352" s="241"/>
      <c r="F352" s="242"/>
      <c r="G352" s="200"/>
      <c r="H352" s="200"/>
      <c r="I352" s="243"/>
      <c r="J352" s="205"/>
      <c r="K352" s="206"/>
      <c r="L352" s="392"/>
    </row>
    <row r="353" spans="1:12" ht="15.5" thickTop="1" thickBot="1">
      <c r="A353" s="239"/>
      <c r="B353" s="204"/>
      <c r="C353" s="204"/>
      <c r="D353" s="240"/>
      <c r="E353" s="241"/>
      <c r="F353" s="242"/>
      <c r="G353" s="200"/>
      <c r="H353" s="200"/>
      <c r="I353" s="243"/>
      <c r="J353" s="205"/>
      <c r="K353" s="206"/>
      <c r="L353" s="392"/>
    </row>
    <row r="354" spans="1:12" ht="15.5" thickTop="1" thickBot="1">
      <c r="A354" s="239"/>
      <c r="B354" s="204"/>
      <c r="C354" s="204"/>
      <c r="D354" s="240"/>
      <c r="E354" s="241"/>
      <c r="F354" s="242"/>
      <c r="G354" s="200"/>
      <c r="H354" s="200"/>
      <c r="I354" s="243"/>
      <c r="J354" s="205"/>
      <c r="K354" s="206"/>
      <c r="L354" s="392"/>
    </row>
    <row r="355" spans="1:12" ht="15.5" thickTop="1" thickBot="1">
      <c r="A355" s="239"/>
      <c r="B355" s="204"/>
      <c r="C355" s="204"/>
      <c r="D355" s="240"/>
      <c r="E355" s="241"/>
      <c r="F355" s="242"/>
      <c r="G355" s="200"/>
      <c r="H355" s="200"/>
      <c r="I355" s="243"/>
      <c r="J355" s="205"/>
      <c r="K355" s="206"/>
      <c r="L355" s="392"/>
    </row>
    <row r="356" spans="1:12" ht="15.5" thickTop="1" thickBot="1">
      <c r="A356" s="239"/>
      <c r="B356" s="204"/>
      <c r="C356" s="204"/>
      <c r="D356" s="240"/>
      <c r="E356" s="241"/>
      <c r="F356" s="242"/>
      <c r="G356" s="200"/>
      <c r="H356" s="200"/>
      <c r="I356" s="243"/>
      <c r="J356" s="205"/>
      <c r="K356" s="206"/>
      <c r="L356" s="392"/>
    </row>
    <row r="357" spans="1:12" ht="15.5" thickTop="1" thickBot="1">
      <c r="A357" s="239"/>
      <c r="B357" s="204"/>
      <c r="C357" s="204"/>
      <c r="D357" s="240"/>
      <c r="E357" s="241"/>
      <c r="F357" s="242"/>
      <c r="G357" s="200"/>
      <c r="H357" s="200"/>
      <c r="I357" s="243"/>
      <c r="J357" s="205"/>
      <c r="K357" s="206"/>
      <c r="L357" s="392"/>
    </row>
    <row r="358" spans="1:12" ht="15.5" thickTop="1" thickBot="1">
      <c r="A358" s="239"/>
      <c r="B358" s="204"/>
      <c r="C358" s="204"/>
      <c r="D358" s="240"/>
      <c r="E358" s="241"/>
      <c r="F358" s="242"/>
      <c r="G358" s="200"/>
      <c r="H358" s="200"/>
      <c r="I358" s="243"/>
      <c r="J358" s="205"/>
      <c r="K358" s="206"/>
      <c r="L358" s="392"/>
    </row>
    <row r="359" spans="1:12" ht="15.5" thickTop="1" thickBot="1">
      <c r="A359" s="239"/>
      <c r="B359" s="204"/>
      <c r="C359" s="204"/>
      <c r="D359" s="240"/>
      <c r="E359" s="241"/>
      <c r="F359" s="242"/>
      <c r="G359" s="200"/>
      <c r="H359" s="200"/>
      <c r="I359" s="243"/>
      <c r="J359" s="205"/>
      <c r="K359" s="206"/>
      <c r="L359" s="392"/>
    </row>
    <row r="360" spans="1:12" ht="15.5" thickTop="1" thickBot="1">
      <c r="A360" s="239"/>
      <c r="B360" s="204"/>
      <c r="C360" s="204"/>
      <c r="D360" s="240"/>
      <c r="E360" s="241"/>
      <c r="F360" s="242"/>
      <c r="G360" s="200"/>
      <c r="H360" s="200"/>
      <c r="I360" s="243"/>
      <c r="J360" s="205"/>
      <c r="K360" s="206"/>
      <c r="L360" s="392"/>
    </row>
    <row r="361" spans="1:12" ht="15.5" thickTop="1" thickBot="1">
      <c r="A361" s="239"/>
      <c r="B361" s="204"/>
      <c r="C361" s="204"/>
      <c r="D361" s="240"/>
      <c r="E361" s="241"/>
      <c r="F361" s="242"/>
      <c r="G361" s="200"/>
      <c r="H361" s="200"/>
      <c r="I361" s="243"/>
      <c r="J361" s="205"/>
      <c r="K361" s="206"/>
      <c r="L361" s="392"/>
    </row>
    <row r="362" spans="1:12" ht="15.5" thickTop="1" thickBot="1">
      <c r="A362" s="239"/>
      <c r="B362" s="204"/>
      <c r="C362" s="204"/>
      <c r="D362" s="240"/>
      <c r="E362" s="241"/>
      <c r="F362" s="242"/>
      <c r="G362" s="200"/>
      <c r="H362" s="200"/>
      <c r="I362" s="243"/>
      <c r="J362" s="205"/>
      <c r="K362" s="206"/>
      <c r="L362" s="392"/>
    </row>
    <row r="363" spans="1:12" ht="15.5" thickTop="1" thickBot="1">
      <c r="A363" s="239"/>
      <c r="B363" s="204"/>
      <c r="C363" s="204"/>
      <c r="D363" s="240"/>
      <c r="E363" s="241"/>
      <c r="F363" s="242"/>
      <c r="G363" s="200"/>
      <c r="H363" s="200"/>
      <c r="I363" s="243"/>
      <c r="J363" s="205"/>
      <c r="K363" s="206"/>
      <c r="L363" s="392"/>
    </row>
    <row r="364" spans="1:12" ht="15.5" thickTop="1" thickBot="1">
      <c r="A364" s="239"/>
      <c r="B364" s="204"/>
      <c r="C364" s="204"/>
      <c r="D364" s="240"/>
      <c r="E364" s="241"/>
      <c r="F364" s="242"/>
      <c r="G364" s="200"/>
      <c r="H364" s="200"/>
      <c r="I364" s="243"/>
      <c r="J364" s="205"/>
      <c r="K364" s="206"/>
      <c r="L364" s="392"/>
    </row>
    <row r="365" spans="1:12" ht="15.5" thickTop="1" thickBot="1">
      <c r="A365" s="239"/>
      <c r="B365" s="204"/>
      <c r="C365" s="204"/>
      <c r="D365" s="240"/>
      <c r="E365" s="241"/>
      <c r="F365" s="242"/>
      <c r="G365" s="200"/>
      <c r="H365" s="200"/>
      <c r="I365" s="243"/>
      <c r="J365" s="205"/>
      <c r="K365" s="206"/>
      <c r="L365" s="392"/>
    </row>
    <row r="366" spans="1:12" ht="15.5" thickTop="1" thickBot="1">
      <c r="A366" s="239"/>
      <c r="B366" s="204"/>
      <c r="C366" s="204"/>
      <c r="D366" s="240"/>
      <c r="E366" s="241"/>
      <c r="F366" s="242"/>
      <c r="G366" s="200"/>
      <c r="H366" s="200"/>
      <c r="I366" s="243"/>
      <c r="J366" s="205"/>
      <c r="K366" s="206"/>
      <c r="L366" s="392"/>
    </row>
    <row r="367" spans="1:12" ht="15.5" thickTop="1" thickBot="1">
      <c r="A367" s="239"/>
      <c r="B367" s="204"/>
      <c r="C367" s="204"/>
      <c r="D367" s="240"/>
      <c r="E367" s="241"/>
      <c r="F367" s="242"/>
      <c r="G367" s="200"/>
      <c r="H367" s="200"/>
      <c r="I367" s="243"/>
      <c r="J367" s="205"/>
      <c r="K367" s="206"/>
      <c r="L367" s="392"/>
    </row>
    <row r="368" spans="1:12" ht="15.5" thickTop="1" thickBot="1">
      <c r="A368" s="239"/>
      <c r="B368" s="204"/>
      <c r="C368" s="204"/>
      <c r="D368" s="240"/>
      <c r="E368" s="241"/>
      <c r="F368" s="242"/>
      <c r="G368" s="200"/>
      <c r="H368" s="200"/>
      <c r="I368" s="243"/>
      <c r="J368" s="205"/>
      <c r="K368" s="206"/>
      <c r="L368" s="392"/>
    </row>
    <row r="369" spans="1:12" ht="15.5" thickTop="1" thickBot="1">
      <c r="A369" s="239"/>
      <c r="B369" s="204"/>
      <c r="C369" s="204"/>
      <c r="D369" s="240"/>
      <c r="E369" s="241"/>
      <c r="F369" s="242"/>
      <c r="G369" s="200"/>
      <c r="H369" s="200"/>
      <c r="I369" s="243"/>
      <c r="J369" s="205"/>
      <c r="K369" s="206"/>
      <c r="L369" s="392"/>
    </row>
    <row r="370" spans="1:12" ht="15.5" thickTop="1" thickBot="1">
      <c r="A370" s="239"/>
      <c r="B370" s="204"/>
      <c r="C370" s="204"/>
      <c r="D370" s="240"/>
      <c r="E370" s="241"/>
      <c r="F370" s="242"/>
      <c r="G370" s="200"/>
      <c r="H370" s="200"/>
      <c r="I370" s="243"/>
      <c r="J370" s="205"/>
      <c r="K370" s="206"/>
      <c r="L370" s="392"/>
    </row>
    <row r="371" spans="1:12" ht="15.5" thickTop="1" thickBot="1">
      <c r="A371" s="239"/>
      <c r="B371" s="204"/>
      <c r="C371" s="204"/>
      <c r="D371" s="240"/>
      <c r="E371" s="241"/>
      <c r="F371" s="242"/>
      <c r="G371" s="200"/>
      <c r="H371" s="200"/>
      <c r="I371" s="243"/>
      <c r="J371" s="205"/>
      <c r="K371" s="206"/>
      <c r="L371" s="392"/>
    </row>
    <row r="372" spans="1:12" ht="15.5" thickTop="1" thickBot="1">
      <c r="A372" s="239"/>
      <c r="B372" s="204"/>
      <c r="C372" s="204"/>
      <c r="D372" s="240"/>
      <c r="E372" s="241"/>
      <c r="F372" s="242"/>
      <c r="G372" s="200"/>
      <c r="H372" s="200"/>
      <c r="I372" s="243"/>
      <c r="J372" s="205"/>
      <c r="K372" s="206"/>
      <c r="L372" s="392"/>
    </row>
    <row r="373" spans="1:12" ht="15.5" thickTop="1" thickBot="1">
      <c r="A373" s="239"/>
      <c r="B373" s="204"/>
      <c r="C373" s="204"/>
      <c r="D373" s="240"/>
      <c r="E373" s="241"/>
      <c r="F373" s="242"/>
      <c r="G373" s="200"/>
      <c r="H373" s="200"/>
      <c r="I373" s="243"/>
      <c r="J373" s="205"/>
      <c r="K373" s="206"/>
      <c r="L373" s="392"/>
    </row>
    <row r="374" spans="1:12" ht="15.5" thickTop="1" thickBot="1">
      <c r="A374" s="239"/>
      <c r="B374" s="204"/>
      <c r="C374" s="204"/>
      <c r="D374" s="240"/>
      <c r="E374" s="241"/>
      <c r="F374" s="242"/>
      <c r="G374" s="200"/>
      <c r="H374" s="200"/>
      <c r="I374" s="243"/>
      <c r="J374" s="205"/>
      <c r="K374" s="206"/>
      <c r="L374" s="392"/>
    </row>
    <row r="375" spans="1:12" ht="15.5" thickTop="1" thickBot="1">
      <c r="A375" s="239"/>
      <c r="B375" s="204"/>
      <c r="C375" s="204"/>
      <c r="D375" s="240"/>
      <c r="E375" s="241"/>
      <c r="F375" s="242"/>
      <c r="G375" s="200"/>
      <c r="H375" s="200"/>
      <c r="I375" s="243"/>
      <c r="J375" s="205"/>
      <c r="K375" s="206"/>
      <c r="L375" s="392"/>
    </row>
    <row r="376" spans="1:12" ht="15.5" thickTop="1" thickBot="1">
      <c r="A376" s="239"/>
      <c r="B376" s="204"/>
      <c r="C376" s="204"/>
      <c r="D376" s="240"/>
      <c r="E376" s="241"/>
      <c r="F376" s="242"/>
      <c r="G376" s="200"/>
      <c r="H376" s="200"/>
      <c r="I376" s="243"/>
      <c r="J376" s="205"/>
      <c r="K376" s="206"/>
      <c r="L376" s="392"/>
    </row>
    <row r="377" spans="1:12" ht="15.5" thickTop="1" thickBot="1">
      <c r="A377" s="239"/>
      <c r="B377" s="204"/>
      <c r="C377" s="204"/>
      <c r="D377" s="240"/>
      <c r="E377" s="241"/>
      <c r="F377" s="242"/>
      <c r="G377" s="200"/>
      <c r="H377" s="200"/>
      <c r="I377" s="243"/>
      <c r="J377" s="205"/>
      <c r="K377" s="206"/>
      <c r="L377" s="392"/>
    </row>
    <row r="378" spans="1:12" ht="15.5" thickTop="1" thickBot="1">
      <c r="A378" s="239"/>
      <c r="B378" s="204"/>
      <c r="C378" s="204"/>
      <c r="D378" s="240"/>
      <c r="E378" s="241"/>
      <c r="F378" s="242"/>
      <c r="G378" s="200"/>
      <c r="H378" s="200"/>
      <c r="I378" s="243"/>
      <c r="J378" s="205"/>
      <c r="K378" s="206"/>
      <c r="L378" s="392"/>
    </row>
    <row r="379" spans="1:12" ht="15.5" thickTop="1" thickBot="1">
      <c r="A379" s="239"/>
      <c r="B379" s="204"/>
      <c r="C379" s="204"/>
      <c r="D379" s="240"/>
      <c r="E379" s="241"/>
      <c r="F379" s="242"/>
      <c r="G379" s="200"/>
      <c r="H379" s="200"/>
      <c r="I379" s="243"/>
      <c r="J379" s="205"/>
      <c r="K379" s="206"/>
      <c r="L379" s="392"/>
    </row>
    <row r="380" spans="1:12" ht="15.5" thickTop="1" thickBot="1">
      <c r="A380" s="239"/>
      <c r="B380" s="204"/>
      <c r="C380" s="204"/>
      <c r="D380" s="240"/>
      <c r="E380" s="241"/>
      <c r="F380" s="242"/>
      <c r="G380" s="200"/>
      <c r="H380" s="200"/>
      <c r="I380" s="243"/>
      <c r="J380" s="205"/>
      <c r="K380" s="206"/>
      <c r="L380" s="392"/>
    </row>
    <row r="381" spans="1:12" ht="15.5" thickTop="1" thickBot="1">
      <c r="A381" s="239"/>
      <c r="B381" s="204"/>
      <c r="C381" s="204"/>
      <c r="D381" s="240"/>
      <c r="E381" s="241"/>
      <c r="F381" s="242"/>
      <c r="G381" s="200"/>
      <c r="H381" s="200"/>
      <c r="I381" s="243"/>
      <c r="J381" s="205"/>
      <c r="K381" s="206"/>
      <c r="L381" s="392"/>
    </row>
    <row r="382" spans="1:12" ht="15.5" thickTop="1" thickBot="1">
      <c r="A382" s="239"/>
      <c r="B382" s="204"/>
      <c r="C382" s="204"/>
      <c r="D382" s="240"/>
      <c r="E382" s="241"/>
      <c r="F382" s="242"/>
      <c r="G382" s="200"/>
      <c r="H382" s="200"/>
      <c r="I382" s="243"/>
      <c r="J382" s="205"/>
      <c r="K382" s="206"/>
      <c r="L382" s="392"/>
    </row>
    <row r="383" spans="1:12" ht="15.5" thickTop="1" thickBot="1">
      <c r="A383" s="239"/>
      <c r="B383" s="204"/>
      <c r="C383" s="204"/>
      <c r="D383" s="240"/>
      <c r="E383" s="241"/>
      <c r="F383" s="242"/>
      <c r="G383" s="200"/>
      <c r="H383" s="200"/>
      <c r="I383" s="243"/>
      <c r="J383" s="205"/>
      <c r="K383" s="206"/>
      <c r="L383" s="392"/>
    </row>
    <row r="384" spans="1:12" ht="15.5" thickTop="1" thickBot="1">
      <c r="A384" s="239"/>
      <c r="B384" s="204"/>
      <c r="C384" s="204"/>
      <c r="D384" s="240"/>
      <c r="E384" s="241"/>
      <c r="F384" s="242"/>
      <c r="G384" s="200"/>
      <c r="H384" s="200"/>
      <c r="I384" s="243"/>
      <c r="J384" s="205"/>
      <c r="K384" s="206"/>
      <c r="L384" s="392"/>
    </row>
    <row r="385" spans="1:12" ht="15.5" thickTop="1" thickBot="1">
      <c r="A385" s="239"/>
      <c r="B385" s="204"/>
      <c r="C385" s="204"/>
      <c r="D385" s="240"/>
      <c r="E385" s="241"/>
      <c r="F385" s="242"/>
      <c r="G385" s="200"/>
      <c r="H385" s="200"/>
      <c r="I385" s="243"/>
      <c r="J385" s="205"/>
      <c r="K385" s="206"/>
      <c r="L385" s="392"/>
    </row>
    <row r="386" spans="1:12" ht="15.5" thickTop="1" thickBot="1">
      <c r="A386" s="239"/>
      <c r="B386" s="204"/>
      <c r="C386" s="204"/>
      <c r="D386" s="240"/>
      <c r="E386" s="241"/>
      <c r="F386" s="242"/>
      <c r="G386" s="200"/>
      <c r="H386" s="200"/>
      <c r="I386" s="243"/>
      <c r="J386" s="205"/>
      <c r="K386" s="206"/>
      <c r="L386" s="392"/>
    </row>
    <row r="387" spans="1:12" ht="15.5" thickTop="1" thickBot="1">
      <c r="A387" s="239"/>
      <c r="B387" s="204"/>
      <c r="C387" s="204"/>
      <c r="D387" s="240"/>
      <c r="E387" s="241"/>
      <c r="F387" s="242"/>
      <c r="G387" s="200"/>
      <c r="H387" s="200"/>
      <c r="I387" s="243"/>
      <c r="J387" s="205"/>
      <c r="K387" s="206"/>
      <c r="L387" s="392"/>
    </row>
    <row r="388" spans="1:12" ht="15.5" thickTop="1" thickBot="1">
      <c r="A388" s="239"/>
      <c r="B388" s="204"/>
      <c r="C388" s="204"/>
      <c r="D388" s="240"/>
      <c r="E388" s="241"/>
      <c r="F388" s="242"/>
      <c r="G388" s="200"/>
      <c r="H388" s="200"/>
      <c r="I388" s="243"/>
      <c r="J388" s="205"/>
      <c r="K388" s="206"/>
      <c r="L388" s="392"/>
    </row>
    <row r="389" spans="1:12" ht="15.5" thickTop="1" thickBot="1">
      <c r="A389" s="239"/>
      <c r="B389" s="204"/>
      <c r="C389" s="204"/>
      <c r="D389" s="240"/>
      <c r="E389" s="241"/>
      <c r="F389" s="242"/>
      <c r="G389" s="200"/>
      <c r="H389" s="200"/>
      <c r="I389" s="243"/>
      <c r="J389" s="205"/>
      <c r="K389" s="206"/>
      <c r="L389" s="392"/>
    </row>
    <row r="390" spans="1:12" ht="15.5" thickTop="1" thickBot="1">
      <c r="A390" s="239"/>
      <c r="B390" s="204"/>
      <c r="C390" s="204"/>
      <c r="D390" s="240"/>
      <c r="E390" s="241"/>
      <c r="F390" s="242"/>
      <c r="G390" s="200"/>
      <c r="H390" s="200"/>
      <c r="I390" s="243"/>
      <c r="J390" s="205"/>
      <c r="K390" s="206"/>
      <c r="L390" s="392"/>
    </row>
    <row r="391" spans="1:12" ht="15.5" thickTop="1" thickBot="1">
      <c r="A391" s="239"/>
      <c r="B391" s="204"/>
      <c r="C391" s="204"/>
      <c r="D391" s="240"/>
      <c r="E391" s="241"/>
      <c r="F391" s="242"/>
      <c r="G391" s="200"/>
      <c r="H391" s="200"/>
      <c r="I391" s="243"/>
      <c r="J391" s="205"/>
      <c r="K391" s="206"/>
      <c r="L391" s="392"/>
    </row>
    <row r="392" spans="1:12" ht="15.5" thickTop="1" thickBot="1">
      <c r="A392" s="239"/>
      <c r="B392" s="204"/>
      <c r="C392" s="204"/>
      <c r="D392" s="240"/>
      <c r="E392" s="241"/>
      <c r="F392" s="242"/>
      <c r="G392" s="200"/>
      <c r="H392" s="200"/>
      <c r="I392" s="243"/>
      <c r="J392" s="205"/>
      <c r="K392" s="206"/>
      <c r="L392" s="392"/>
    </row>
    <row r="393" spans="1:12" ht="15.5" thickTop="1" thickBot="1">
      <c r="A393" s="239"/>
      <c r="B393" s="204"/>
      <c r="C393" s="204"/>
      <c r="D393" s="240"/>
      <c r="E393" s="241"/>
      <c r="F393" s="242"/>
      <c r="G393" s="200"/>
      <c r="H393" s="200"/>
      <c r="I393" s="243"/>
      <c r="J393" s="205"/>
      <c r="K393" s="206"/>
      <c r="L393" s="392"/>
    </row>
    <row r="394" spans="1:12" ht="15.5" thickTop="1" thickBot="1">
      <c r="A394" s="239"/>
      <c r="B394" s="204"/>
      <c r="C394" s="204"/>
      <c r="D394" s="240"/>
      <c r="E394" s="241"/>
      <c r="F394" s="242"/>
      <c r="G394" s="200"/>
      <c r="H394" s="200"/>
      <c r="I394" s="243"/>
      <c r="J394" s="205"/>
      <c r="K394" s="206"/>
      <c r="L394" s="392"/>
    </row>
    <row r="395" spans="1:12" ht="15.5" thickTop="1" thickBot="1">
      <c r="A395" s="239"/>
      <c r="B395" s="204"/>
      <c r="C395" s="204"/>
      <c r="D395" s="240"/>
      <c r="E395" s="241"/>
      <c r="F395" s="242"/>
      <c r="G395" s="200"/>
      <c r="H395" s="200"/>
      <c r="I395" s="243"/>
      <c r="J395" s="205"/>
      <c r="K395" s="206"/>
      <c r="L395" s="392"/>
    </row>
    <row r="396" spans="1:12" ht="15.5" thickTop="1" thickBot="1">
      <c r="A396" s="239"/>
      <c r="B396" s="204"/>
      <c r="C396" s="204"/>
      <c r="D396" s="240"/>
      <c r="E396" s="241"/>
      <c r="F396" s="242"/>
      <c r="G396" s="200"/>
      <c r="H396" s="200"/>
      <c r="I396" s="243"/>
      <c r="J396" s="205"/>
      <c r="K396" s="206"/>
      <c r="L396" s="392"/>
    </row>
    <row r="397" spans="1:12" ht="15.5" thickTop="1" thickBot="1">
      <c r="A397" s="239"/>
      <c r="B397" s="204"/>
      <c r="C397" s="204"/>
      <c r="D397" s="240"/>
      <c r="E397" s="241"/>
      <c r="F397" s="242"/>
      <c r="G397" s="200"/>
      <c r="H397" s="200"/>
      <c r="I397" s="243"/>
      <c r="J397" s="205"/>
      <c r="K397" s="206"/>
      <c r="L397" s="392"/>
    </row>
    <row r="398" spans="1:12" ht="15.5" thickTop="1" thickBot="1">
      <c r="A398" s="239"/>
      <c r="B398" s="204"/>
      <c r="C398" s="204"/>
      <c r="D398" s="240"/>
      <c r="E398" s="241"/>
      <c r="F398" s="242"/>
      <c r="G398" s="200"/>
      <c r="H398" s="200"/>
      <c r="I398" s="243"/>
      <c r="J398" s="205"/>
      <c r="K398" s="206"/>
      <c r="L398" s="392"/>
    </row>
    <row r="399" spans="1:12" ht="15.5" thickTop="1" thickBot="1">
      <c r="A399" s="239"/>
      <c r="B399" s="204"/>
      <c r="C399" s="204"/>
      <c r="D399" s="240"/>
      <c r="E399" s="241"/>
      <c r="F399" s="242"/>
      <c r="G399" s="200"/>
      <c r="H399" s="200"/>
      <c r="I399" s="243"/>
      <c r="J399" s="205"/>
      <c r="K399" s="206"/>
      <c r="L399" s="392"/>
    </row>
    <row r="400" spans="1:12" ht="15.5" thickTop="1" thickBot="1">
      <c r="A400" s="239"/>
      <c r="B400" s="204"/>
      <c r="C400" s="204"/>
      <c r="D400" s="240"/>
      <c r="E400" s="241"/>
      <c r="F400" s="242"/>
      <c r="G400" s="200"/>
      <c r="H400" s="200"/>
      <c r="I400" s="243"/>
      <c r="J400" s="205"/>
      <c r="K400" s="206"/>
      <c r="L400" s="392"/>
    </row>
    <row r="401" spans="1:12" ht="15.5" thickTop="1" thickBot="1">
      <c r="A401" s="239"/>
      <c r="B401" s="204"/>
      <c r="C401" s="204"/>
      <c r="D401" s="240"/>
      <c r="E401" s="241"/>
      <c r="F401" s="242"/>
      <c r="G401" s="200"/>
      <c r="H401" s="200"/>
      <c r="I401" s="243"/>
      <c r="J401" s="205"/>
      <c r="K401" s="206"/>
      <c r="L401" s="392"/>
    </row>
    <row r="402" spans="1:12" ht="15.5" thickTop="1" thickBot="1">
      <c r="A402" s="239"/>
      <c r="B402" s="204"/>
      <c r="C402" s="204"/>
      <c r="D402" s="240"/>
      <c r="E402" s="241"/>
      <c r="F402" s="242"/>
      <c r="G402" s="200"/>
      <c r="H402" s="200"/>
      <c r="I402" s="243"/>
      <c r="J402" s="205"/>
      <c r="K402" s="206"/>
      <c r="L402" s="392"/>
    </row>
    <row r="403" spans="1:12" ht="15.5" thickTop="1" thickBot="1">
      <c r="A403" s="239"/>
      <c r="B403" s="204"/>
      <c r="C403" s="204"/>
      <c r="D403" s="240"/>
      <c r="E403" s="241"/>
      <c r="F403" s="242"/>
      <c r="G403" s="200"/>
      <c r="H403" s="200"/>
      <c r="I403" s="243"/>
      <c r="J403" s="205"/>
      <c r="K403" s="206"/>
      <c r="L403" s="392"/>
    </row>
    <row r="404" spans="1:12" ht="15.5" thickTop="1" thickBot="1">
      <c r="A404" s="239"/>
      <c r="B404" s="204"/>
      <c r="C404" s="204"/>
      <c r="D404" s="240"/>
      <c r="E404" s="241"/>
      <c r="F404" s="242"/>
      <c r="G404" s="200"/>
      <c r="H404" s="200"/>
      <c r="I404" s="243"/>
      <c r="J404" s="205"/>
      <c r="K404" s="206"/>
      <c r="L404" s="392"/>
    </row>
    <row r="405" spans="1:12" ht="15.5" thickTop="1" thickBot="1">
      <c r="A405" s="239"/>
      <c r="B405" s="204"/>
      <c r="C405" s="204"/>
      <c r="D405" s="240"/>
      <c r="E405" s="241"/>
      <c r="F405" s="242"/>
      <c r="G405" s="200"/>
      <c r="H405" s="200"/>
      <c r="I405" s="243"/>
      <c r="J405" s="205"/>
      <c r="K405" s="206"/>
      <c r="L405" s="392"/>
    </row>
    <row r="406" spans="1:12" ht="15.5" thickTop="1" thickBot="1">
      <c r="A406" s="239"/>
      <c r="B406" s="204"/>
      <c r="C406" s="204"/>
      <c r="D406" s="240"/>
      <c r="E406" s="241"/>
      <c r="F406" s="242"/>
      <c r="G406" s="200"/>
      <c r="H406" s="200"/>
      <c r="I406" s="243"/>
      <c r="J406" s="205"/>
      <c r="K406" s="206"/>
      <c r="L406" s="392"/>
    </row>
    <row r="407" spans="1:12" ht="15.5" thickTop="1" thickBot="1">
      <c r="A407" s="239"/>
      <c r="B407" s="204"/>
      <c r="C407" s="204"/>
      <c r="D407" s="240"/>
      <c r="E407" s="241"/>
      <c r="F407" s="242"/>
      <c r="G407" s="200"/>
      <c r="H407" s="200"/>
      <c r="I407" s="243"/>
      <c r="J407" s="205"/>
      <c r="K407" s="206"/>
      <c r="L407" s="392"/>
    </row>
    <row r="408" spans="1:12" ht="15.5" thickTop="1" thickBot="1">
      <c r="A408" s="239"/>
      <c r="B408" s="204"/>
      <c r="C408" s="204"/>
      <c r="D408" s="240"/>
      <c r="E408" s="241"/>
      <c r="F408" s="242"/>
      <c r="G408" s="200"/>
      <c r="H408" s="200"/>
      <c r="I408" s="243"/>
      <c r="J408" s="205"/>
      <c r="K408" s="206"/>
      <c r="L408" s="392"/>
    </row>
    <row r="409" spans="1:12" ht="15.5" thickTop="1" thickBot="1">
      <c r="A409" s="239"/>
      <c r="B409" s="204"/>
      <c r="C409" s="204"/>
      <c r="D409" s="240"/>
      <c r="E409" s="241"/>
      <c r="F409" s="242"/>
      <c r="G409" s="200"/>
      <c r="H409" s="200"/>
      <c r="I409" s="243"/>
      <c r="J409" s="205"/>
      <c r="K409" s="206"/>
      <c r="L409" s="392"/>
    </row>
    <row r="410" spans="1:12" ht="15.5" thickTop="1" thickBot="1">
      <c r="A410" s="239"/>
      <c r="B410" s="204"/>
      <c r="C410" s="204"/>
      <c r="D410" s="240"/>
      <c r="E410" s="241"/>
      <c r="F410" s="242"/>
      <c r="G410" s="200"/>
      <c r="H410" s="200"/>
      <c r="I410" s="243"/>
      <c r="J410" s="205"/>
      <c r="K410" s="206"/>
      <c r="L410" s="392"/>
    </row>
    <row r="411" spans="1:12" ht="15.5" thickTop="1" thickBot="1">
      <c r="A411" s="239"/>
      <c r="B411" s="204"/>
      <c r="C411" s="204"/>
      <c r="D411" s="240"/>
      <c r="E411" s="241"/>
      <c r="F411" s="242"/>
      <c r="G411" s="200"/>
      <c r="H411" s="200"/>
      <c r="I411" s="243"/>
      <c r="J411" s="205"/>
      <c r="K411" s="206"/>
      <c r="L411" s="392"/>
    </row>
    <row r="412" spans="1:12" ht="15.5" thickTop="1" thickBot="1">
      <c r="A412" s="239"/>
      <c r="B412" s="204"/>
      <c r="C412" s="204"/>
      <c r="D412" s="240"/>
      <c r="E412" s="241"/>
      <c r="F412" s="242"/>
      <c r="G412" s="200"/>
      <c r="H412" s="200"/>
      <c r="I412" s="243"/>
      <c r="J412" s="205"/>
      <c r="K412" s="206"/>
      <c r="L412" s="392"/>
    </row>
    <row r="413" spans="1:12" ht="15.5" thickTop="1" thickBot="1">
      <c r="A413" s="239"/>
      <c r="B413" s="204"/>
      <c r="C413" s="204"/>
      <c r="D413" s="240"/>
      <c r="E413" s="241"/>
      <c r="F413" s="242"/>
      <c r="G413" s="200"/>
      <c r="H413" s="200"/>
      <c r="I413" s="243"/>
      <c r="J413" s="205"/>
      <c r="K413" s="206"/>
      <c r="L413" s="392"/>
    </row>
    <row r="414" spans="1:12" ht="15.5" thickTop="1" thickBot="1">
      <c r="A414" s="239"/>
      <c r="B414" s="204"/>
      <c r="C414" s="204"/>
      <c r="D414" s="240"/>
      <c r="E414" s="241"/>
      <c r="F414" s="242"/>
      <c r="G414" s="200"/>
      <c r="H414" s="200"/>
      <c r="I414" s="243"/>
      <c r="J414" s="205"/>
      <c r="K414" s="206"/>
      <c r="L414" s="392"/>
    </row>
    <row r="415" spans="1:12" ht="15.5" thickTop="1" thickBot="1">
      <c r="A415" s="239"/>
      <c r="B415" s="204"/>
      <c r="C415" s="204"/>
      <c r="D415" s="240"/>
      <c r="E415" s="241"/>
      <c r="F415" s="242"/>
      <c r="G415" s="200"/>
      <c r="H415" s="200"/>
      <c r="I415" s="243"/>
      <c r="J415" s="205"/>
      <c r="K415" s="206"/>
      <c r="L415" s="392"/>
    </row>
    <row r="416" spans="1:12" ht="15.5" thickTop="1" thickBot="1">
      <c r="A416" s="239"/>
      <c r="B416" s="204"/>
      <c r="C416" s="204"/>
      <c r="D416" s="240"/>
      <c r="E416" s="241"/>
      <c r="F416" s="242"/>
      <c r="G416" s="200"/>
      <c r="H416" s="200"/>
      <c r="I416" s="243"/>
      <c r="J416" s="205"/>
      <c r="K416" s="206"/>
      <c r="L416" s="392"/>
    </row>
    <row r="417" spans="1:12" ht="15.5" thickTop="1" thickBot="1">
      <c r="A417" s="239"/>
      <c r="B417" s="204"/>
      <c r="C417" s="204"/>
      <c r="D417" s="240"/>
      <c r="E417" s="241"/>
      <c r="F417" s="242"/>
      <c r="G417" s="200"/>
      <c r="H417" s="200"/>
      <c r="I417" s="243"/>
      <c r="J417" s="205"/>
      <c r="K417" s="206"/>
      <c r="L417" s="392"/>
    </row>
    <row r="418" spans="1:12" ht="15.5" thickTop="1" thickBot="1">
      <c r="A418" s="239"/>
      <c r="B418" s="204"/>
      <c r="C418" s="204"/>
      <c r="D418" s="240"/>
      <c r="E418" s="241"/>
      <c r="F418" s="242"/>
      <c r="G418" s="200"/>
      <c r="H418" s="200"/>
      <c r="I418" s="243"/>
      <c r="J418" s="205"/>
      <c r="K418" s="206"/>
      <c r="L418" s="392"/>
    </row>
    <row r="419" spans="1:12" ht="15.5" thickTop="1" thickBot="1">
      <c r="A419" s="239"/>
      <c r="B419" s="204"/>
      <c r="C419" s="204"/>
      <c r="D419" s="240"/>
      <c r="E419" s="241"/>
      <c r="F419" s="242"/>
      <c r="G419" s="200"/>
      <c r="H419" s="200"/>
      <c r="I419" s="243"/>
      <c r="J419" s="205"/>
      <c r="K419" s="206"/>
      <c r="L419" s="392"/>
    </row>
    <row r="420" spans="1:12" ht="15.5" thickTop="1" thickBot="1">
      <c r="A420" s="239"/>
      <c r="B420" s="204"/>
      <c r="C420" s="204"/>
      <c r="D420" s="240"/>
      <c r="E420" s="241"/>
      <c r="F420" s="242"/>
      <c r="G420" s="200"/>
      <c r="H420" s="200"/>
      <c r="I420" s="243"/>
      <c r="J420" s="205"/>
      <c r="K420" s="206"/>
      <c r="L420" s="392"/>
    </row>
    <row r="421" spans="1:12" ht="15.5" thickTop="1" thickBot="1">
      <c r="A421" s="239"/>
      <c r="B421" s="204"/>
      <c r="C421" s="204"/>
      <c r="D421" s="240"/>
      <c r="E421" s="241"/>
      <c r="F421" s="242"/>
      <c r="G421" s="200"/>
      <c r="H421" s="200"/>
      <c r="I421" s="243"/>
      <c r="J421" s="205"/>
      <c r="K421" s="206"/>
      <c r="L421" s="392"/>
    </row>
    <row r="422" spans="1:12" ht="15.5" thickTop="1" thickBot="1">
      <c r="A422" s="239"/>
      <c r="B422" s="204"/>
      <c r="C422" s="204"/>
      <c r="D422" s="240"/>
      <c r="E422" s="241"/>
      <c r="F422" s="242"/>
      <c r="G422" s="200"/>
      <c r="H422" s="200"/>
      <c r="I422" s="243"/>
      <c r="J422" s="205"/>
      <c r="K422" s="206"/>
      <c r="L422" s="392"/>
    </row>
    <row r="423" spans="1:12" ht="15.5" thickTop="1" thickBot="1">
      <c r="A423" s="239"/>
      <c r="B423" s="204"/>
      <c r="C423" s="204"/>
      <c r="D423" s="240"/>
      <c r="E423" s="241"/>
      <c r="F423" s="242"/>
      <c r="G423" s="200"/>
      <c r="H423" s="200"/>
      <c r="I423" s="243"/>
      <c r="J423" s="205"/>
      <c r="K423" s="206"/>
      <c r="L423" s="392"/>
    </row>
    <row r="424" spans="1:12" ht="15.5" thickTop="1" thickBot="1">
      <c r="A424" s="239"/>
      <c r="B424" s="204"/>
      <c r="C424" s="204"/>
      <c r="D424" s="240"/>
      <c r="E424" s="241"/>
      <c r="F424" s="242"/>
      <c r="G424" s="200"/>
      <c r="H424" s="200"/>
      <c r="I424" s="243"/>
      <c r="J424" s="205"/>
      <c r="K424" s="206"/>
      <c r="L424" s="392"/>
    </row>
    <row r="425" spans="1:12" ht="15.5" thickTop="1" thickBot="1">
      <c r="A425" s="239"/>
      <c r="B425" s="204"/>
      <c r="C425" s="204"/>
      <c r="D425" s="240"/>
      <c r="E425" s="241"/>
      <c r="F425" s="242"/>
      <c r="G425" s="200"/>
      <c r="H425" s="200"/>
      <c r="I425" s="243"/>
      <c r="J425" s="205"/>
      <c r="K425" s="206"/>
      <c r="L425" s="392"/>
    </row>
    <row r="426" spans="1:12" ht="15.5" thickTop="1" thickBot="1">
      <c r="A426" s="239"/>
      <c r="B426" s="204"/>
      <c r="C426" s="204"/>
      <c r="D426" s="240"/>
      <c r="E426" s="241"/>
      <c r="F426" s="242"/>
      <c r="G426" s="200"/>
      <c r="H426" s="200"/>
      <c r="I426" s="243"/>
      <c r="J426" s="205"/>
      <c r="K426" s="206"/>
      <c r="L426" s="392"/>
    </row>
    <row r="427" spans="1:12" ht="15.5" thickTop="1" thickBot="1">
      <c r="A427" s="239"/>
      <c r="B427" s="204"/>
      <c r="C427" s="204"/>
      <c r="D427" s="240"/>
      <c r="E427" s="241"/>
      <c r="F427" s="242"/>
      <c r="G427" s="200"/>
      <c r="H427" s="200"/>
      <c r="I427" s="243"/>
      <c r="J427" s="205"/>
      <c r="K427" s="206"/>
      <c r="L427" s="392"/>
    </row>
    <row r="428" spans="1:12" ht="15.5" thickTop="1" thickBot="1">
      <c r="A428" s="239"/>
      <c r="B428" s="204"/>
      <c r="C428" s="204"/>
      <c r="D428" s="240"/>
      <c r="E428" s="241"/>
      <c r="F428" s="242"/>
      <c r="G428" s="200"/>
      <c r="H428" s="200"/>
      <c r="I428" s="243"/>
      <c r="J428" s="205"/>
      <c r="K428" s="206"/>
      <c r="L428" s="392"/>
    </row>
    <row r="429" spans="1:12" ht="15.5" thickTop="1" thickBot="1">
      <c r="A429" s="239"/>
      <c r="B429" s="204"/>
      <c r="C429" s="204"/>
      <c r="D429" s="240"/>
      <c r="E429" s="241"/>
      <c r="F429" s="242"/>
      <c r="G429" s="200"/>
      <c r="H429" s="200"/>
      <c r="I429" s="243"/>
      <c r="J429" s="205"/>
      <c r="K429" s="206"/>
      <c r="L429" s="392"/>
    </row>
    <row r="430" spans="1:12" ht="15.5" thickTop="1" thickBot="1">
      <c r="A430" s="239"/>
      <c r="B430" s="204"/>
      <c r="C430" s="204"/>
      <c r="D430" s="240"/>
      <c r="E430" s="241"/>
      <c r="F430" s="242"/>
      <c r="G430" s="200"/>
      <c r="H430" s="200"/>
      <c r="I430" s="243"/>
      <c r="J430" s="205"/>
      <c r="K430" s="206"/>
      <c r="L430" s="392"/>
    </row>
    <row r="431" spans="1:12" ht="15.5" thickTop="1" thickBot="1">
      <c r="A431" s="239"/>
      <c r="B431" s="204"/>
      <c r="C431" s="204"/>
      <c r="D431" s="240"/>
      <c r="E431" s="241"/>
      <c r="F431" s="242"/>
      <c r="G431" s="200"/>
      <c r="H431" s="200"/>
      <c r="I431" s="243"/>
      <c r="J431" s="205"/>
      <c r="K431" s="206"/>
      <c r="L431" s="392"/>
    </row>
    <row r="432" spans="1:12" ht="15.5" thickTop="1" thickBot="1">
      <c r="A432" s="239"/>
      <c r="B432" s="204"/>
      <c r="C432" s="204"/>
      <c r="D432" s="240"/>
      <c r="E432" s="241"/>
      <c r="F432" s="242"/>
      <c r="G432" s="200"/>
      <c r="H432" s="200"/>
      <c r="I432" s="243"/>
      <c r="J432" s="205"/>
      <c r="K432" s="206"/>
      <c r="L432" s="392"/>
    </row>
    <row r="433" spans="1:12" ht="15.5" thickTop="1" thickBot="1">
      <c r="A433" s="239"/>
      <c r="B433" s="204"/>
      <c r="C433" s="204"/>
      <c r="D433" s="240"/>
      <c r="E433" s="241"/>
      <c r="F433" s="242"/>
      <c r="G433" s="200"/>
      <c r="H433" s="200"/>
      <c r="I433" s="243"/>
      <c r="J433" s="205"/>
      <c r="K433" s="206"/>
      <c r="L433" s="392"/>
    </row>
    <row r="434" spans="1:12" ht="15.5" thickTop="1" thickBot="1">
      <c r="A434" s="239"/>
      <c r="B434" s="204"/>
      <c r="C434" s="204"/>
      <c r="D434" s="240"/>
      <c r="E434" s="241"/>
      <c r="F434" s="242"/>
      <c r="G434" s="200"/>
      <c r="H434" s="200"/>
      <c r="I434" s="243"/>
      <c r="J434" s="205"/>
      <c r="K434" s="206"/>
      <c r="L434" s="392"/>
    </row>
    <row r="435" spans="1:12" ht="15.5" thickTop="1" thickBot="1">
      <c r="A435" s="239"/>
      <c r="B435" s="204"/>
      <c r="C435" s="204"/>
      <c r="D435" s="240"/>
      <c r="E435" s="241"/>
      <c r="F435" s="242"/>
      <c r="G435" s="200"/>
      <c r="H435" s="200"/>
      <c r="I435" s="243"/>
      <c r="J435" s="205"/>
      <c r="K435" s="206"/>
      <c r="L435" s="392"/>
    </row>
    <row r="436" spans="1:12" ht="15.5" thickTop="1" thickBot="1">
      <c r="A436" s="239"/>
      <c r="B436" s="204"/>
      <c r="C436" s="204"/>
      <c r="D436" s="240"/>
      <c r="E436" s="241"/>
      <c r="F436" s="242"/>
      <c r="G436" s="200"/>
      <c r="H436" s="200"/>
      <c r="I436" s="243"/>
      <c r="J436" s="205"/>
      <c r="K436" s="206"/>
      <c r="L436" s="392"/>
    </row>
    <row r="437" spans="1:12" ht="15.5" thickTop="1" thickBot="1">
      <c r="A437" s="239"/>
      <c r="B437" s="204"/>
      <c r="C437" s="204"/>
      <c r="D437" s="240"/>
      <c r="E437" s="241"/>
      <c r="F437" s="242"/>
      <c r="G437" s="200"/>
      <c r="H437" s="200"/>
      <c r="I437" s="243"/>
      <c r="J437" s="205"/>
      <c r="K437" s="206"/>
      <c r="L437" s="392"/>
    </row>
    <row r="438" spans="1:12" ht="15.5" thickTop="1" thickBot="1">
      <c r="A438" s="239"/>
      <c r="B438" s="204"/>
      <c r="C438" s="204"/>
      <c r="D438" s="240"/>
      <c r="E438" s="241"/>
      <c r="F438" s="242"/>
      <c r="G438" s="200"/>
      <c r="H438" s="200"/>
      <c r="I438" s="243"/>
      <c r="J438" s="205"/>
      <c r="K438" s="206"/>
      <c r="L438" s="392"/>
    </row>
    <row r="439" spans="1:12" ht="15.5" thickTop="1" thickBot="1">
      <c r="A439" s="239"/>
      <c r="B439" s="204"/>
      <c r="C439" s="204"/>
      <c r="D439" s="240"/>
      <c r="E439" s="241"/>
      <c r="F439" s="242"/>
      <c r="G439" s="200"/>
      <c r="H439" s="200"/>
      <c r="I439" s="243"/>
      <c r="J439" s="205"/>
      <c r="K439" s="206"/>
      <c r="L439" s="392"/>
    </row>
    <row r="440" spans="1:12" ht="15.5" thickTop="1" thickBot="1">
      <c r="A440" s="239"/>
      <c r="B440" s="204"/>
      <c r="C440" s="204"/>
      <c r="D440" s="240"/>
      <c r="E440" s="241"/>
      <c r="F440" s="242"/>
      <c r="G440" s="200"/>
      <c r="H440" s="200"/>
      <c r="I440" s="243"/>
      <c r="J440" s="205"/>
      <c r="K440" s="206"/>
      <c r="L440" s="392"/>
    </row>
    <row r="441" spans="1:12" ht="15.5" thickTop="1" thickBot="1">
      <c r="A441" s="239"/>
      <c r="B441" s="204"/>
      <c r="C441" s="204"/>
      <c r="D441" s="240"/>
      <c r="E441" s="241"/>
      <c r="F441" s="242"/>
      <c r="G441" s="200"/>
      <c r="H441" s="200"/>
      <c r="I441" s="243"/>
      <c r="J441" s="205"/>
      <c r="K441" s="206"/>
      <c r="L441" s="392"/>
    </row>
    <row r="442" spans="1:12" ht="15.5" thickTop="1" thickBot="1">
      <c r="A442" s="239"/>
      <c r="B442" s="204"/>
      <c r="C442" s="204"/>
      <c r="D442" s="240"/>
      <c r="E442" s="241"/>
      <c r="F442" s="242"/>
      <c r="G442" s="200"/>
      <c r="H442" s="200"/>
      <c r="I442" s="243"/>
      <c r="J442" s="205"/>
      <c r="K442" s="206"/>
      <c r="L442" s="392"/>
    </row>
    <row r="443" spans="1:12" ht="15.5" thickTop="1" thickBot="1">
      <c r="A443" s="239"/>
      <c r="B443" s="204"/>
      <c r="C443" s="204"/>
      <c r="D443" s="240"/>
      <c r="E443" s="241"/>
      <c r="F443" s="242"/>
      <c r="G443" s="200"/>
      <c r="H443" s="200"/>
      <c r="I443" s="243"/>
      <c r="J443" s="205"/>
      <c r="K443" s="206"/>
      <c r="L443" s="392"/>
    </row>
    <row r="444" spans="1:12" ht="15.5" thickTop="1" thickBot="1">
      <c r="A444" s="239"/>
      <c r="B444" s="204"/>
      <c r="C444" s="204"/>
      <c r="D444" s="240"/>
      <c r="E444" s="241"/>
      <c r="F444" s="242"/>
      <c r="G444" s="200"/>
      <c r="H444" s="200"/>
      <c r="I444" s="243"/>
      <c r="J444" s="205"/>
      <c r="K444" s="206"/>
      <c r="L444" s="392"/>
    </row>
    <row r="445" spans="1:12" ht="15.5" thickTop="1" thickBot="1">
      <c r="A445" s="239"/>
      <c r="B445" s="204"/>
      <c r="C445" s="204"/>
      <c r="D445" s="240"/>
      <c r="E445" s="241"/>
      <c r="F445" s="242"/>
      <c r="G445" s="200"/>
      <c r="H445" s="200"/>
      <c r="I445" s="243"/>
      <c r="J445" s="205"/>
      <c r="K445" s="206"/>
      <c r="L445" s="392"/>
    </row>
    <row r="446" spans="1:12" ht="15.5" thickTop="1" thickBot="1">
      <c r="A446" s="239"/>
      <c r="B446" s="204"/>
      <c r="C446" s="204"/>
      <c r="D446" s="240"/>
      <c r="E446" s="241"/>
      <c r="F446" s="242"/>
      <c r="G446" s="200"/>
      <c r="H446" s="200"/>
      <c r="I446" s="243"/>
      <c r="J446" s="205"/>
      <c r="K446" s="206"/>
      <c r="L446" s="392"/>
    </row>
    <row r="447" spans="1:12" ht="15.5" thickTop="1" thickBot="1">
      <c r="A447" s="239"/>
      <c r="B447" s="204"/>
      <c r="C447" s="204"/>
      <c r="D447" s="240"/>
      <c r="E447" s="241"/>
      <c r="F447" s="242"/>
      <c r="G447" s="200"/>
      <c r="H447" s="200"/>
      <c r="I447" s="243"/>
      <c r="J447" s="205"/>
      <c r="K447" s="206"/>
      <c r="L447" s="392"/>
    </row>
    <row r="448" spans="1:12" ht="15.5" thickTop="1" thickBot="1">
      <c r="A448" s="239"/>
      <c r="B448" s="204"/>
      <c r="C448" s="204"/>
      <c r="D448" s="240"/>
      <c r="E448" s="241"/>
      <c r="F448" s="242"/>
      <c r="G448" s="200"/>
      <c r="H448" s="200"/>
      <c r="I448" s="243"/>
      <c r="J448" s="205"/>
      <c r="K448" s="206"/>
      <c r="L448" s="392"/>
    </row>
    <row r="449" spans="1:12" ht="15.5" thickTop="1" thickBot="1">
      <c r="A449" s="239"/>
      <c r="B449" s="204"/>
      <c r="C449" s="204"/>
      <c r="D449" s="240"/>
      <c r="E449" s="241"/>
      <c r="F449" s="242"/>
      <c r="G449" s="200"/>
      <c r="H449" s="200"/>
      <c r="I449" s="243"/>
      <c r="J449" s="205"/>
      <c r="K449" s="206"/>
      <c r="L449" s="392"/>
    </row>
    <row r="450" spans="1:12" ht="15.5" thickTop="1" thickBot="1">
      <c r="A450" s="239"/>
      <c r="B450" s="204"/>
      <c r="C450" s="204"/>
      <c r="D450" s="240"/>
      <c r="E450" s="241"/>
      <c r="F450" s="242"/>
      <c r="G450" s="200"/>
      <c r="H450" s="200"/>
      <c r="I450" s="243"/>
      <c r="J450" s="205"/>
      <c r="K450" s="206"/>
      <c r="L450" s="392"/>
    </row>
    <row r="451" spans="1:12" ht="15.5" thickTop="1" thickBot="1">
      <c r="A451" s="239"/>
      <c r="B451" s="204"/>
      <c r="C451" s="204"/>
      <c r="D451" s="240"/>
      <c r="E451" s="241"/>
      <c r="F451" s="242"/>
      <c r="G451" s="200"/>
      <c r="H451" s="200"/>
      <c r="I451" s="243"/>
      <c r="J451" s="205"/>
      <c r="K451" s="206"/>
      <c r="L451" s="392"/>
    </row>
    <row r="452" spans="1:12" ht="15.5" thickTop="1" thickBot="1">
      <c r="A452" s="239"/>
      <c r="B452" s="204"/>
      <c r="C452" s="204"/>
      <c r="D452" s="240"/>
      <c r="E452" s="241"/>
      <c r="F452" s="242"/>
      <c r="G452" s="200"/>
      <c r="H452" s="200"/>
      <c r="I452" s="243"/>
      <c r="J452" s="205"/>
      <c r="K452" s="206"/>
      <c r="L452" s="392"/>
    </row>
    <row r="453" spans="1:12" ht="15.5" thickTop="1" thickBot="1">
      <c r="A453" s="239"/>
      <c r="B453" s="204"/>
      <c r="C453" s="204"/>
      <c r="D453" s="240"/>
      <c r="E453" s="241"/>
      <c r="F453" s="242"/>
      <c r="G453" s="200"/>
      <c r="H453" s="200"/>
      <c r="I453" s="243"/>
      <c r="J453" s="205"/>
      <c r="K453" s="206"/>
      <c r="L453" s="392"/>
    </row>
    <row r="454" spans="1:12" ht="15.5" thickTop="1" thickBot="1">
      <c r="A454" s="239"/>
      <c r="B454" s="204"/>
      <c r="C454" s="204"/>
      <c r="D454" s="240"/>
      <c r="E454" s="241"/>
      <c r="F454" s="242"/>
      <c r="G454" s="200"/>
      <c r="H454" s="200"/>
      <c r="I454" s="243"/>
      <c r="J454" s="205"/>
      <c r="K454" s="206"/>
      <c r="L454" s="392"/>
    </row>
    <row r="455" spans="1:12" ht="15.5" thickTop="1" thickBot="1">
      <c r="A455" s="239"/>
      <c r="B455" s="204"/>
      <c r="C455" s="204"/>
      <c r="D455" s="240"/>
      <c r="E455" s="241"/>
      <c r="F455" s="242"/>
      <c r="G455" s="200"/>
      <c r="H455" s="200"/>
      <c r="I455" s="243"/>
      <c r="J455" s="205"/>
      <c r="K455" s="206"/>
      <c r="L455" s="392"/>
    </row>
    <row r="456" spans="1:12" ht="15.5" thickTop="1" thickBot="1">
      <c r="A456" s="239"/>
      <c r="B456" s="204"/>
      <c r="C456" s="204"/>
      <c r="D456" s="240"/>
      <c r="E456" s="241"/>
      <c r="F456" s="242"/>
      <c r="G456" s="200"/>
      <c r="H456" s="200"/>
      <c r="I456" s="243"/>
      <c r="J456" s="205"/>
      <c r="K456" s="206"/>
      <c r="L456" s="392"/>
    </row>
    <row r="457" spans="1:12" ht="15.5" thickTop="1" thickBot="1">
      <c r="A457" s="239"/>
      <c r="B457" s="204"/>
      <c r="C457" s="204"/>
      <c r="D457" s="240"/>
      <c r="E457" s="241"/>
      <c r="F457" s="242"/>
      <c r="G457" s="200"/>
      <c r="H457" s="200"/>
      <c r="I457" s="243"/>
      <c r="J457" s="205"/>
      <c r="K457" s="206"/>
      <c r="L457" s="392"/>
    </row>
    <row r="458" spans="1:12" ht="15.5" thickTop="1" thickBot="1">
      <c r="A458" s="239"/>
      <c r="B458" s="204"/>
      <c r="C458" s="204"/>
      <c r="D458" s="240"/>
      <c r="E458" s="241"/>
      <c r="F458" s="242"/>
      <c r="G458" s="200"/>
      <c r="H458" s="200"/>
      <c r="I458" s="243"/>
      <c r="J458" s="205"/>
      <c r="K458" s="206"/>
      <c r="L458" s="392"/>
    </row>
    <row r="459" spans="1:12" ht="15.5" thickTop="1" thickBot="1">
      <c r="A459" s="239"/>
      <c r="B459" s="204"/>
      <c r="C459" s="204"/>
      <c r="D459" s="240"/>
      <c r="E459" s="241"/>
      <c r="F459" s="242"/>
      <c r="G459" s="200"/>
      <c r="H459" s="200"/>
      <c r="I459" s="243"/>
      <c r="J459" s="205"/>
      <c r="K459" s="206"/>
      <c r="L459" s="392"/>
    </row>
    <row r="460" spans="1:12" ht="15.5" thickTop="1" thickBot="1">
      <c r="A460" s="239"/>
      <c r="B460" s="204"/>
      <c r="C460" s="204"/>
      <c r="D460" s="240"/>
      <c r="E460" s="241"/>
      <c r="F460" s="242"/>
      <c r="G460" s="200"/>
      <c r="H460" s="200"/>
      <c r="I460" s="243"/>
      <c r="J460" s="205"/>
      <c r="K460" s="206"/>
      <c r="L460" s="392"/>
    </row>
    <row r="461" spans="1:12" ht="15.5" thickTop="1" thickBot="1">
      <c r="A461" s="239"/>
      <c r="B461" s="204"/>
      <c r="C461" s="204"/>
      <c r="D461" s="240"/>
      <c r="E461" s="241"/>
      <c r="F461" s="242"/>
      <c r="G461" s="200"/>
      <c r="H461" s="200"/>
      <c r="I461" s="243"/>
      <c r="J461" s="205"/>
      <c r="K461" s="206"/>
      <c r="L461" s="392"/>
    </row>
    <row r="462" spans="1:12" ht="15.5" thickTop="1" thickBot="1">
      <c r="A462" s="239"/>
      <c r="B462" s="204"/>
      <c r="C462" s="204"/>
      <c r="D462" s="240"/>
      <c r="E462" s="241"/>
      <c r="F462" s="242"/>
      <c r="G462" s="200"/>
      <c r="H462" s="200"/>
      <c r="I462" s="243"/>
      <c r="J462" s="205"/>
      <c r="K462" s="206"/>
      <c r="L462" s="392"/>
    </row>
    <row r="463" spans="1:12" ht="15.5" thickTop="1" thickBot="1">
      <c r="A463" s="239"/>
      <c r="B463" s="204"/>
      <c r="C463" s="204"/>
      <c r="D463" s="240"/>
      <c r="E463" s="241"/>
      <c r="F463" s="242"/>
      <c r="G463" s="200"/>
      <c r="H463" s="200"/>
      <c r="I463" s="243"/>
      <c r="J463" s="205"/>
      <c r="K463" s="206"/>
      <c r="L463" s="392"/>
    </row>
    <row r="464" spans="1:12" ht="15.5" thickTop="1" thickBot="1">
      <c r="A464" s="239"/>
      <c r="B464" s="204"/>
      <c r="C464" s="204"/>
      <c r="D464" s="240"/>
      <c r="E464" s="241"/>
      <c r="F464" s="242"/>
      <c r="G464" s="200"/>
      <c r="H464" s="200"/>
      <c r="I464" s="243"/>
      <c r="J464" s="205"/>
      <c r="K464" s="206"/>
      <c r="L464" s="392"/>
    </row>
    <row r="465" spans="1:12" ht="15.5" thickTop="1" thickBot="1">
      <c r="A465" s="239"/>
      <c r="B465" s="204"/>
      <c r="C465" s="204"/>
      <c r="D465" s="240"/>
      <c r="E465" s="241"/>
      <c r="F465" s="242"/>
      <c r="G465" s="200"/>
      <c r="H465" s="200"/>
      <c r="I465" s="243"/>
      <c r="J465" s="205"/>
      <c r="K465" s="206"/>
      <c r="L465" s="392"/>
    </row>
    <row r="466" spans="1:12" ht="15.5" thickTop="1" thickBot="1">
      <c r="A466" s="239"/>
      <c r="B466" s="204"/>
      <c r="C466" s="204"/>
      <c r="D466" s="240"/>
      <c r="E466" s="241"/>
      <c r="F466" s="242"/>
      <c r="G466" s="200"/>
      <c r="H466" s="200"/>
      <c r="I466" s="243"/>
      <c r="J466" s="205"/>
      <c r="K466" s="206"/>
      <c r="L466" s="392"/>
    </row>
    <row r="467" spans="1:12" ht="15.5" thickTop="1" thickBot="1">
      <c r="A467" s="239"/>
      <c r="B467" s="204"/>
      <c r="C467" s="204"/>
      <c r="D467" s="240"/>
      <c r="E467" s="241"/>
      <c r="F467" s="242"/>
      <c r="G467" s="200"/>
      <c r="H467" s="200"/>
      <c r="I467" s="243"/>
      <c r="J467" s="205"/>
      <c r="K467" s="206"/>
      <c r="L467" s="392"/>
    </row>
    <row r="468" spans="1:12" ht="15.5" thickTop="1" thickBot="1">
      <c r="A468" s="239"/>
      <c r="B468" s="204"/>
      <c r="C468" s="204"/>
      <c r="D468" s="240"/>
      <c r="E468" s="241"/>
      <c r="F468" s="242"/>
      <c r="G468" s="200"/>
      <c r="H468" s="200"/>
      <c r="I468" s="243"/>
      <c r="J468" s="205"/>
      <c r="K468" s="206"/>
      <c r="L468" s="392"/>
    </row>
    <row r="469" spans="1:12" ht="15.5" thickTop="1" thickBot="1">
      <c r="A469" s="239"/>
      <c r="B469" s="204"/>
      <c r="C469" s="204"/>
      <c r="D469" s="240"/>
      <c r="E469" s="241"/>
      <c r="F469" s="242"/>
      <c r="G469" s="200"/>
      <c r="H469" s="200"/>
      <c r="I469" s="243"/>
      <c r="J469" s="205"/>
      <c r="K469" s="206"/>
      <c r="L469" s="392"/>
    </row>
    <row r="470" spans="1:12" ht="15.5" thickTop="1" thickBot="1">
      <c r="A470" s="239"/>
      <c r="B470" s="204"/>
      <c r="C470" s="204"/>
      <c r="D470" s="240"/>
      <c r="E470" s="241"/>
      <c r="F470" s="242"/>
      <c r="G470" s="200"/>
      <c r="H470" s="200"/>
      <c r="I470" s="243"/>
      <c r="J470" s="205"/>
      <c r="K470" s="206"/>
      <c r="L470" s="392"/>
    </row>
    <row r="471" spans="1:12" ht="15.5" thickTop="1" thickBot="1">
      <c r="A471" s="239"/>
      <c r="B471" s="204"/>
      <c r="C471" s="204"/>
      <c r="D471" s="240"/>
      <c r="E471" s="241"/>
      <c r="F471" s="242"/>
      <c r="G471" s="200"/>
      <c r="H471" s="200"/>
      <c r="I471" s="243"/>
      <c r="J471" s="205"/>
      <c r="K471" s="206"/>
      <c r="L471" s="392"/>
    </row>
    <row r="472" spans="1:12" ht="15.5" thickTop="1" thickBot="1">
      <c r="A472" s="239"/>
      <c r="B472" s="204"/>
      <c r="C472" s="204"/>
      <c r="D472" s="240"/>
      <c r="E472" s="241"/>
      <c r="F472" s="242"/>
      <c r="G472" s="200"/>
      <c r="H472" s="200"/>
      <c r="I472" s="243"/>
      <c r="J472" s="205"/>
      <c r="K472" s="206"/>
      <c r="L472" s="392"/>
    </row>
    <row r="473" spans="1:12" ht="15.5" thickTop="1" thickBot="1">
      <c r="A473" s="239"/>
      <c r="B473" s="204"/>
      <c r="C473" s="204"/>
      <c r="D473" s="240"/>
      <c r="E473" s="241"/>
      <c r="F473" s="242"/>
      <c r="G473" s="200"/>
      <c r="H473" s="200"/>
      <c r="I473" s="243"/>
      <c r="J473" s="205"/>
      <c r="K473" s="206"/>
      <c r="L473" s="392"/>
    </row>
    <row r="474" spans="1:12" ht="15.5" thickTop="1" thickBot="1">
      <c r="A474" s="239"/>
      <c r="B474" s="204"/>
      <c r="C474" s="204"/>
      <c r="D474" s="240"/>
      <c r="E474" s="241"/>
      <c r="F474" s="242"/>
      <c r="G474" s="200"/>
      <c r="H474" s="200"/>
      <c r="I474" s="243"/>
      <c r="J474" s="205"/>
      <c r="K474" s="206"/>
      <c r="L474" s="392"/>
    </row>
    <row r="475" spans="1:12" ht="15.5" thickTop="1" thickBot="1">
      <c r="A475" s="239"/>
      <c r="B475" s="204"/>
      <c r="C475" s="204"/>
      <c r="D475" s="240"/>
      <c r="E475" s="241"/>
      <c r="F475" s="242"/>
      <c r="G475" s="200"/>
      <c r="H475" s="200"/>
      <c r="I475" s="243"/>
      <c r="J475" s="205"/>
      <c r="K475" s="206"/>
      <c r="L475" s="392"/>
    </row>
    <row r="476" spans="1:12" ht="15.5" thickTop="1" thickBot="1">
      <c r="A476" s="239"/>
      <c r="B476" s="204"/>
      <c r="C476" s="204"/>
      <c r="D476" s="240"/>
      <c r="E476" s="241"/>
      <c r="F476" s="242"/>
      <c r="G476" s="200"/>
      <c r="H476" s="200"/>
      <c r="I476" s="243"/>
      <c r="J476" s="205"/>
      <c r="K476" s="206"/>
      <c r="L476" s="392"/>
    </row>
    <row r="477" spans="1:12" ht="15.5" thickTop="1" thickBot="1">
      <c r="A477" s="239"/>
      <c r="B477" s="204"/>
      <c r="C477" s="204"/>
      <c r="D477" s="240"/>
      <c r="E477" s="241"/>
      <c r="F477" s="242"/>
      <c r="G477" s="200"/>
      <c r="H477" s="200"/>
      <c r="I477" s="243"/>
      <c r="J477" s="205"/>
      <c r="K477" s="206"/>
      <c r="L477" s="392"/>
    </row>
    <row r="478" spans="1:12" ht="15.5" thickTop="1" thickBot="1">
      <c r="A478" s="239"/>
      <c r="B478" s="204"/>
      <c r="C478" s="204"/>
      <c r="D478" s="240"/>
      <c r="E478" s="241"/>
      <c r="F478" s="242"/>
      <c r="G478" s="200"/>
      <c r="H478" s="200"/>
      <c r="I478" s="243"/>
      <c r="J478" s="205"/>
      <c r="K478" s="206"/>
      <c r="L478" s="392"/>
    </row>
    <row r="479" spans="1:12" ht="15.5" thickTop="1" thickBot="1">
      <c r="A479" s="239"/>
      <c r="B479" s="204"/>
      <c r="C479" s="204"/>
      <c r="D479" s="240"/>
      <c r="E479" s="241"/>
      <c r="F479" s="242"/>
      <c r="G479" s="200"/>
      <c r="H479" s="200"/>
      <c r="I479" s="243"/>
      <c r="J479" s="205"/>
      <c r="K479" s="206"/>
      <c r="L479" s="392"/>
    </row>
    <row r="480" spans="1:12" ht="15.5" thickTop="1" thickBot="1">
      <c r="A480" s="239"/>
      <c r="B480" s="204"/>
      <c r="C480" s="204"/>
      <c r="D480" s="240"/>
      <c r="E480" s="241"/>
      <c r="F480" s="242"/>
      <c r="G480" s="200"/>
      <c r="H480" s="200"/>
      <c r="I480" s="243"/>
      <c r="J480" s="205"/>
      <c r="K480" s="206"/>
      <c r="L480" s="392"/>
    </row>
    <row r="481" spans="1:12" ht="15.5" thickTop="1" thickBot="1">
      <c r="A481" s="239"/>
      <c r="B481" s="204"/>
      <c r="C481" s="204"/>
      <c r="D481" s="240"/>
      <c r="E481" s="241"/>
      <c r="F481" s="242"/>
      <c r="G481" s="200"/>
      <c r="H481" s="200"/>
      <c r="I481" s="243"/>
      <c r="J481" s="205"/>
      <c r="K481" s="206"/>
      <c r="L481" s="392"/>
    </row>
    <row r="482" spans="1:12" ht="15.5" thickTop="1" thickBot="1">
      <c r="A482" s="239"/>
      <c r="B482" s="204"/>
      <c r="C482" s="204"/>
      <c r="D482" s="240"/>
      <c r="E482" s="241"/>
      <c r="F482" s="242"/>
      <c r="G482" s="200"/>
      <c r="H482" s="200"/>
      <c r="I482" s="243"/>
      <c r="J482" s="205"/>
      <c r="K482" s="206"/>
      <c r="L482" s="392"/>
    </row>
    <row r="483" spans="1:12" ht="15.5" thickTop="1" thickBot="1">
      <c r="A483" s="239"/>
      <c r="B483" s="204"/>
      <c r="C483" s="204"/>
      <c r="D483" s="240"/>
      <c r="E483" s="241"/>
      <c r="F483" s="242"/>
      <c r="G483" s="200"/>
      <c r="H483" s="200"/>
      <c r="I483" s="243"/>
      <c r="J483" s="205"/>
      <c r="K483" s="206"/>
      <c r="L483" s="392"/>
    </row>
    <row r="484" spans="1:12" ht="15.5" thickTop="1" thickBot="1">
      <c r="A484" s="239"/>
      <c r="B484" s="204"/>
      <c r="C484" s="204"/>
      <c r="D484" s="240"/>
      <c r="E484" s="241"/>
      <c r="F484" s="242"/>
      <c r="G484" s="200"/>
      <c r="H484" s="200"/>
      <c r="I484" s="243"/>
      <c r="J484" s="205"/>
      <c r="K484" s="206"/>
      <c r="L484" s="392"/>
    </row>
    <row r="485" spans="1:12" ht="15.5" thickTop="1" thickBot="1">
      <c r="A485" s="239"/>
      <c r="B485" s="204"/>
      <c r="C485" s="204"/>
      <c r="D485" s="240"/>
      <c r="E485" s="241"/>
      <c r="F485" s="242"/>
      <c r="G485" s="200"/>
      <c r="H485" s="200"/>
      <c r="I485" s="243"/>
      <c r="J485" s="205"/>
      <c r="K485" s="206"/>
      <c r="L485" s="392"/>
    </row>
    <row r="486" spans="1:12" ht="15.5" thickTop="1" thickBot="1">
      <c r="A486" s="239"/>
      <c r="B486" s="204"/>
      <c r="C486" s="204"/>
      <c r="D486" s="240"/>
      <c r="E486" s="241"/>
      <c r="F486" s="242"/>
      <c r="G486" s="200"/>
      <c r="H486" s="200"/>
      <c r="I486" s="243"/>
      <c r="J486" s="205"/>
      <c r="K486" s="206"/>
      <c r="L486" s="392"/>
    </row>
    <row r="487" spans="1:12" ht="15.5" thickTop="1" thickBot="1">
      <c r="A487" s="239"/>
      <c r="B487" s="204"/>
      <c r="C487" s="204"/>
      <c r="D487" s="240"/>
      <c r="E487" s="241"/>
      <c r="F487" s="242"/>
      <c r="G487" s="200"/>
      <c r="H487" s="200"/>
      <c r="I487" s="243"/>
      <c r="J487" s="205"/>
      <c r="K487" s="206"/>
      <c r="L487" s="392"/>
    </row>
    <row r="488" spans="1:12" ht="15.5" thickTop="1" thickBot="1">
      <c r="A488" s="239"/>
      <c r="B488" s="204"/>
      <c r="C488" s="204"/>
      <c r="D488" s="240"/>
      <c r="E488" s="241"/>
      <c r="F488" s="242"/>
      <c r="G488" s="200"/>
      <c r="H488" s="200"/>
      <c r="I488" s="243"/>
      <c r="J488" s="205"/>
      <c r="K488" s="206"/>
      <c r="L488" s="392"/>
    </row>
    <row r="489" spans="1:12" ht="15.5" thickTop="1" thickBot="1">
      <c r="A489" s="239"/>
      <c r="B489" s="204"/>
      <c r="C489" s="204"/>
      <c r="D489" s="240"/>
      <c r="E489" s="241"/>
      <c r="F489" s="242"/>
      <c r="G489" s="200"/>
      <c r="H489" s="200"/>
      <c r="I489" s="243"/>
      <c r="J489" s="205"/>
      <c r="K489" s="206"/>
      <c r="L489" s="392"/>
    </row>
    <row r="490" spans="1:12" ht="15.5" thickTop="1" thickBot="1">
      <c r="A490" s="239"/>
      <c r="B490" s="204"/>
      <c r="C490" s="204"/>
      <c r="D490" s="240"/>
      <c r="E490" s="241"/>
      <c r="F490" s="242"/>
      <c r="G490" s="200"/>
      <c r="H490" s="200"/>
      <c r="I490" s="243"/>
      <c r="J490" s="205"/>
      <c r="K490" s="206"/>
      <c r="L490" s="392"/>
    </row>
    <row r="491" spans="1:12" ht="15.5" thickTop="1" thickBot="1">
      <c r="A491" s="239"/>
      <c r="B491" s="204"/>
      <c r="C491" s="204"/>
      <c r="D491" s="240"/>
      <c r="E491" s="241"/>
      <c r="F491" s="242"/>
      <c r="G491" s="200"/>
      <c r="H491" s="200"/>
      <c r="I491" s="243"/>
      <c r="J491" s="205"/>
      <c r="K491" s="206"/>
      <c r="L491" s="392"/>
    </row>
    <row r="492" spans="1:12" ht="15.5" thickTop="1" thickBot="1">
      <c r="A492" s="239"/>
      <c r="B492" s="204"/>
      <c r="C492" s="204"/>
      <c r="D492" s="240"/>
      <c r="E492" s="241"/>
      <c r="F492" s="242"/>
      <c r="G492" s="200"/>
      <c r="H492" s="200"/>
      <c r="I492" s="243"/>
      <c r="J492" s="205"/>
      <c r="K492" s="206"/>
      <c r="L492" s="392"/>
    </row>
    <row r="493" spans="1:12" ht="15.5" thickTop="1" thickBot="1">
      <c r="A493" s="239"/>
      <c r="B493" s="204"/>
      <c r="C493" s="204"/>
      <c r="D493" s="240"/>
      <c r="E493" s="241"/>
      <c r="F493" s="242"/>
      <c r="G493" s="200"/>
      <c r="H493" s="200"/>
      <c r="I493" s="243"/>
      <c r="J493" s="205"/>
      <c r="K493" s="206"/>
      <c r="L493" s="392"/>
    </row>
    <row r="494" spans="1:12" ht="15.5" thickTop="1" thickBot="1">
      <c r="A494" s="239"/>
      <c r="B494" s="204"/>
      <c r="C494" s="204"/>
      <c r="D494" s="240"/>
      <c r="E494" s="241"/>
      <c r="F494" s="242"/>
      <c r="G494" s="200"/>
      <c r="H494" s="200"/>
      <c r="I494" s="243"/>
      <c r="J494" s="205"/>
      <c r="K494" s="206"/>
      <c r="L494" s="392"/>
    </row>
    <row r="495" spans="1:12" ht="15.5" thickTop="1" thickBot="1">
      <c r="A495" s="239"/>
      <c r="B495" s="204"/>
      <c r="C495" s="204"/>
      <c r="D495" s="240"/>
      <c r="E495" s="241"/>
      <c r="F495" s="242"/>
      <c r="G495" s="200"/>
      <c r="H495" s="200"/>
      <c r="I495" s="243"/>
      <c r="J495" s="205"/>
      <c r="K495" s="206"/>
      <c r="L495" s="392"/>
    </row>
    <row r="496" spans="1:12" ht="15.5" thickTop="1" thickBot="1">
      <c r="A496" s="239"/>
      <c r="B496" s="204"/>
      <c r="C496" s="204"/>
      <c r="D496" s="240"/>
      <c r="E496" s="241"/>
      <c r="F496" s="242"/>
      <c r="G496" s="200"/>
      <c r="H496" s="200"/>
      <c r="I496" s="243"/>
      <c r="J496" s="205"/>
      <c r="K496" s="206"/>
      <c r="L496" s="392"/>
    </row>
    <row r="497" spans="1:12" ht="15.5" thickTop="1" thickBot="1">
      <c r="A497" s="239"/>
      <c r="B497" s="204"/>
      <c r="C497" s="204"/>
      <c r="D497" s="240"/>
      <c r="E497" s="241"/>
      <c r="F497" s="242"/>
      <c r="G497" s="200"/>
      <c r="H497" s="200"/>
      <c r="I497" s="243"/>
      <c r="J497" s="205"/>
      <c r="K497" s="206"/>
      <c r="L497" s="392"/>
    </row>
    <row r="498" spans="1:12" ht="15.5" thickTop="1" thickBot="1">
      <c r="A498" s="239"/>
      <c r="B498" s="204"/>
      <c r="C498" s="204"/>
      <c r="D498" s="240"/>
      <c r="E498" s="241"/>
      <c r="F498" s="242"/>
      <c r="G498" s="200"/>
      <c r="H498" s="200"/>
      <c r="I498" s="243"/>
      <c r="J498" s="205"/>
      <c r="K498" s="206"/>
      <c r="L498" s="392"/>
    </row>
    <row r="499" spans="1:12" ht="15.5" thickTop="1" thickBot="1">
      <c r="A499" s="239"/>
      <c r="B499" s="204"/>
      <c r="C499" s="204"/>
      <c r="D499" s="240"/>
      <c r="E499" s="241"/>
      <c r="F499" s="242"/>
      <c r="G499" s="200"/>
      <c r="H499" s="200"/>
      <c r="I499" s="243"/>
      <c r="J499" s="205"/>
      <c r="K499" s="206"/>
      <c r="L499" s="392"/>
    </row>
    <row r="500" spans="1:12" ht="15.5" thickTop="1" thickBot="1">
      <c r="A500" s="239"/>
      <c r="B500" s="204"/>
      <c r="C500" s="204"/>
      <c r="D500" s="240"/>
      <c r="E500" s="241"/>
      <c r="F500" s="242"/>
      <c r="G500" s="200"/>
      <c r="H500" s="200"/>
      <c r="I500" s="243"/>
      <c r="J500" s="205"/>
      <c r="K500" s="206"/>
      <c r="L500" s="392"/>
    </row>
    <row r="501" spans="1:12" ht="15.5" thickTop="1" thickBot="1">
      <c r="A501" s="239"/>
      <c r="B501" s="204"/>
      <c r="C501" s="204"/>
      <c r="D501" s="240"/>
      <c r="E501" s="241"/>
      <c r="F501" s="242"/>
      <c r="G501" s="200"/>
      <c r="H501" s="200"/>
      <c r="I501" s="243"/>
      <c r="J501" s="205"/>
      <c r="K501" s="206"/>
      <c r="L501" s="392"/>
    </row>
    <row r="502" spans="1:12" ht="15.5" thickTop="1" thickBot="1">
      <c r="A502" s="239"/>
      <c r="B502" s="204"/>
      <c r="C502" s="204"/>
      <c r="D502" s="240"/>
      <c r="E502" s="241"/>
      <c r="F502" s="242"/>
      <c r="G502" s="200"/>
      <c r="H502" s="200"/>
      <c r="I502" s="243"/>
      <c r="J502" s="205"/>
      <c r="K502" s="206"/>
      <c r="L502" s="392"/>
    </row>
    <row r="503" spans="1:12" ht="15.5" thickTop="1" thickBot="1">
      <c r="A503" s="239"/>
      <c r="B503" s="204"/>
      <c r="C503" s="204"/>
      <c r="D503" s="240"/>
      <c r="E503" s="241"/>
      <c r="F503" s="242"/>
      <c r="G503" s="200"/>
      <c r="H503" s="200"/>
      <c r="I503" s="243"/>
      <c r="J503" s="205"/>
      <c r="K503" s="206"/>
      <c r="L503" s="392"/>
    </row>
    <row r="504" spans="1:12" ht="15.5" thickTop="1" thickBot="1">
      <c r="A504" s="239"/>
      <c r="B504" s="204"/>
      <c r="C504" s="204"/>
      <c r="D504" s="240"/>
      <c r="E504" s="241"/>
      <c r="F504" s="242"/>
      <c r="G504" s="200"/>
      <c r="H504" s="200"/>
      <c r="I504" s="243"/>
      <c r="J504" s="205"/>
      <c r="K504" s="206"/>
      <c r="L504" s="392"/>
    </row>
    <row r="505" spans="1:12" ht="15.5" thickTop="1" thickBot="1">
      <c r="A505" s="239"/>
      <c r="B505" s="204"/>
      <c r="C505" s="204"/>
      <c r="D505" s="240"/>
      <c r="E505" s="241"/>
      <c r="F505" s="242"/>
      <c r="G505" s="200"/>
      <c r="H505" s="200"/>
      <c r="I505" s="243"/>
      <c r="J505" s="205"/>
      <c r="K505" s="206"/>
      <c r="L505" s="392"/>
    </row>
    <row r="506" spans="1:12" ht="15.5" thickTop="1" thickBot="1">
      <c r="A506" s="239"/>
      <c r="B506" s="204"/>
      <c r="C506" s="204"/>
      <c r="D506" s="240"/>
      <c r="E506" s="241"/>
      <c r="F506" s="242"/>
      <c r="G506" s="200"/>
      <c r="H506" s="200"/>
      <c r="I506" s="243"/>
      <c r="J506" s="205"/>
      <c r="K506" s="206"/>
      <c r="L506" s="392"/>
    </row>
    <row r="507" spans="1:12" ht="15.5" thickTop="1" thickBot="1">
      <c r="A507" s="239"/>
      <c r="B507" s="204"/>
      <c r="C507" s="204"/>
      <c r="D507" s="240"/>
      <c r="E507" s="241"/>
      <c r="F507" s="242"/>
      <c r="G507" s="200"/>
      <c r="H507" s="200"/>
      <c r="I507" s="243"/>
      <c r="J507" s="205"/>
      <c r="K507" s="206"/>
      <c r="L507" s="392"/>
    </row>
    <row r="508" spans="1:12" ht="15.5" thickTop="1" thickBot="1">
      <c r="A508" s="239"/>
      <c r="B508" s="204"/>
      <c r="C508" s="204"/>
      <c r="D508" s="240"/>
      <c r="E508" s="241"/>
      <c r="F508" s="242"/>
      <c r="G508" s="200"/>
      <c r="H508" s="200"/>
      <c r="I508" s="243"/>
      <c r="J508" s="205"/>
      <c r="K508" s="206"/>
      <c r="L508" s="392"/>
    </row>
    <row r="509" spans="1:12" ht="15.5" thickTop="1" thickBot="1">
      <c r="A509" s="239"/>
      <c r="B509" s="204"/>
      <c r="C509" s="204"/>
      <c r="D509" s="240"/>
      <c r="E509" s="241"/>
      <c r="F509" s="242"/>
      <c r="G509" s="200"/>
      <c r="H509" s="200"/>
      <c r="I509" s="243"/>
      <c r="J509" s="205"/>
      <c r="K509" s="206"/>
      <c r="L509" s="392"/>
    </row>
    <row r="510" spans="1:12" ht="15.5" thickTop="1" thickBot="1">
      <c r="A510" s="239"/>
      <c r="B510" s="204"/>
      <c r="C510" s="204"/>
      <c r="D510" s="240"/>
      <c r="E510" s="241"/>
      <c r="F510" s="242"/>
      <c r="G510" s="200"/>
      <c r="H510" s="200"/>
      <c r="I510" s="243"/>
      <c r="J510" s="205"/>
      <c r="K510" s="206"/>
      <c r="L510" s="392"/>
    </row>
    <row r="511" spans="1:12" ht="15.5" thickTop="1" thickBot="1">
      <c r="A511" s="239"/>
      <c r="B511" s="204"/>
      <c r="C511" s="204"/>
      <c r="D511" s="240"/>
      <c r="E511" s="241"/>
      <c r="F511" s="242"/>
      <c r="G511" s="200"/>
      <c r="H511" s="200"/>
      <c r="I511" s="243"/>
      <c r="J511" s="205"/>
      <c r="K511" s="206"/>
      <c r="L511" s="392"/>
    </row>
    <row r="512" spans="1:12" ht="15.5" thickTop="1" thickBot="1">
      <c r="A512" s="239"/>
      <c r="B512" s="204"/>
      <c r="C512" s="204"/>
      <c r="D512" s="240"/>
      <c r="E512" s="241"/>
      <c r="F512" s="242"/>
      <c r="G512" s="200"/>
      <c r="H512" s="200"/>
      <c r="I512" s="243"/>
      <c r="J512" s="205"/>
      <c r="K512" s="206"/>
      <c r="L512" s="392"/>
    </row>
    <row r="513" spans="1:12" ht="15.5" thickTop="1" thickBot="1">
      <c r="A513" s="239"/>
      <c r="B513" s="204"/>
      <c r="C513" s="204"/>
      <c r="D513" s="240"/>
      <c r="E513" s="241"/>
      <c r="F513" s="242"/>
      <c r="G513" s="200"/>
      <c r="H513" s="200"/>
      <c r="I513" s="243"/>
      <c r="J513" s="205"/>
      <c r="K513" s="206"/>
      <c r="L513" s="392"/>
    </row>
    <row r="514" spans="1:12" ht="15.5" thickTop="1" thickBot="1">
      <c r="A514" s="239"/>
      <c r="B514" s="204"/>
      <c r="C514" s="204"/>
      <c r="D514" s="240"/>
      <c r="E514" s="241"/>
      <c r="F514" s="242"/>
      <c r="G514" s="200"/>
      <c r="H514" s="200"/>
      <c r="I514" s="243"/>
      <c r="J514" s="205"/>
      <c r="K514" s="206"/>
      <c r="L514" s="392"/>
    </row>
    <row r="515" spans="1:12" ht="15.5" thickTop="1" thickBot="1">
      <c r="A515" s="239"/>
      <c r="B515" s="204"/>
      <c r="C515" s="204"/>
      <c r="D515" s="240"/>
      <c r="E515" s="241"/>
      <c r="F515" s="242"/>
      <c r="G515" s="200"/>
      <c r="H515" s="200"/>
      <c r="I515" s="243"/>
      <c r="J515" s="205"/>
      <c r="K515" s="206"/>
      <c r="L515" s="392"/>
    </row>
    <row r="516" spans="1:12" ht="15.5" thickTop="1" thickBot="1">
      <c r="A516" s="239"/>
      <c r="B516" s="204"/>
      <c r="C516" s="204"/>
      <c r="D516" s="240"/>
      <c r="E516" s="241"/>
      <c r="F516" s="242"/>
      <c r="G516" s="200"/>
      <c r="H516" s="200"/>
      <c r="I516" s="243"/>
      <c r="J516" s="205"/>
      <c r="K516" s="206"/>
      <c r="L516" s="392"/>
    </row>
    <row r="517" spans="1:12" ht="15.5" thickTop="1" thickBot="1">
      <c r="A517" s="239"/>
      <c r="B517" s="204"/>
      <c r="C517" s="204"/>
      <c r="D517" s="240"/>
      <c r="E517" s="241"/>
      <c r="F517" s="242"/>
      <c r="G517" s="200"/>
      <c r="H517" s="200"/>
      <c r="I517" s="243"/>
      <c r="J517" s="205"/>
      <c r="K517" s="206"/>
      <c r="L517" s="392"/>
    </row>
    <row r="518" spans="1:12" ht="15.5" thickTop="1" thickBot="1">
      <c r="A518" s="239"/>
      <c r="B518" s="204"/>
      <c r="C518" s="204"/>
      <c r="D518" s="240"/>
      <c r="E518" s="241"/>
      <c r="F518" s="242"/>
      <c r="G518" s="200"/>
      <c r="H518" s="200"/>
      <c r="I518" s="243"/>
      <c r="J518" s="205"/>
      <c r="K518" s="206"/>
      <c r="L518" s="392"/>
    </row>
    <row r="519" spans="1:12" ht="15.5" thickTop="1" thickBot="1">
      <c r="A519" s="239"/>
      <c r="B519" s="204"/>
      <c r="C519" s="204"/>
      <c r="D519" s="240"/>
      <c r="E519" s="241"/>
      <c r="F519" s="242"/>
      <c r="G519" s="200"/>
      <c r="H519" s="200"/>
      <c r="I519" s="243"/>
      <c r="J519" s="205"/>
      <c r="K519" s="206"/>
      <c r="L519" s="392"/>
    </row>
    <row r="520" spans="1:12" ht="15.5" thickTop="1" thickBot="1">
      <c r="A520" s="239"/>
      <c r="B520" s="204"/>
      <c r="C520" s="204"/>
      <c r="D520" s="240"/>
      <c r="E520" s="241"/>
      <c r="F520" s="242"/>
      <c r="G520" s="200"/>
      <c r="H520" s="200"/>
      <c r="I520" s="243"/>
      <c r="J520" s="205"/>
      <c r="K520" s="206"/>
      <c r="L520" s="392"/>
    </row>
    <row r="521" spans="1:12" ht="15.5" thickTop="1" thickBot="1">
      <c r="A521" s="239"/>
      <c r="B521" s="204"/>
      <c r="C521" s="204"/>
      <c r="D521" s="240"/>
      <c r="E521" s="241"/>
      <c r="F521" s="242"/>
      <c r="G521" s="200"/>
      <c r="H521" s="200"/>
      <c r="I521" s="243"/>
      <c r="J521" s="205"/>
      <c r="K521" s="206"/>
      <c r="L521" s="392"/>
    </row>
    <row r="522" spans="1:12" ht="15.5" thickTop="1" thickBot="1">
      <c r="A522" s="239"/>
      <c r="B522" s="204"/>
      <c r="C522" s="204"/>
      <c r="D522" s="240"/>
      <c r="E522" s="241"/>
      <c r="F522" s="242"/>
      <c r="G522" s="200"/>
      <c r="H522" s="200"/>
      <c r="I522" s="243"/>
      <c r="J522" s="205"/>
      <c r="K522" s="206"/>
      <c r="L522" s="392"/>
    </row>
    <row r="523" spans="1:12" ht="15.5" thickTop="1" thickBot="1">
      <c r="A523" s="239"/>
      <c r="B523" s="204"/>
      <c r="C523" s="204"/>
      <c r="D523" s="240"/>
      <c r="E523" s="241"/>
      <c r="F523" s="242"/>
      <c r="G523" s="200"/>
      <c r="H523" s="200"/>
      <c r="I523" s="243"/>
      <c r="J523" s="205"/>
      <c r="K523" s="206"/>
      <c r="L523" s="392"/>
    </row>
    <row r="524" spans="1:12" ht="15.5" thickTop="1" thickBot="1">
      <c r="A524" s="239"/>
      <c r="B524" s="204"/>
      <c r="C524" s="204"/>
      <c r="D524" s="240"/>
      <c r="E524" s="241"/>
      <c r="F524" s="242"/>
      <c r="G524" s="200"/>
      <c r="H524" s="200"/>
      <c r="I524" s="243"/>
      <c r="J524" s="205"/>
      <c r="K524" s="206"/>
      <c r="L524" s="392"/>
    </row>
    <row r="525" spans="1:12" ht="15.5" thickTop="1" thickBot="1">
      <c r="A525" s="239"/>
      <c r="B525" s="204"/>
      <c r="C525" s="204"/>
      <c r="D525" s="240"/>
      <c r="E525" s="241"/>
      <c r="F525" s="242"/>
      <c r="G525" s="200"/>
      <c r="H525" s="200"/>
      <c r="I525" s="243"/>
      <c r="J525" s="205"/>
      <c r="K525" s="206"/>
      <c r="L525" s="392"/>
    </row>
    <row r="526" spans="1:12" ht="15.5" thickTop="1" thickBot="1">
      <c r="A526" s="239"/>
      <c r="B526" s="204"/>
      <c r="C526" s="204"/>
      <c r="D526" s="240"/>
      <c r="E526" s="241"/>
      <c r="F526" s="242"/>
      <c r="G526" s="200"/>
      <c r="H526" s="200"/>
      <c r="I526" s="243"/>
      <c r="J526" s="205"/>
      <c r="K526" s="206"/>
      <c r="L526" s="392"/>
    </row>
    <row r="527" spans="1:12" ht="15.5" thickTop="1" thickBot="1">
      <c r="A527" s="239"/>
      <c r="B527" s="204"/>
      <c r="C527" s="204"/>
      <c r="D527" s="240"/>
      <c r="E527" s="241"/>
      <c r="F527" s="242"/>
      <c r="G527" s="200"/>
      <c r="H527" s="200"/>
      <c r="I527" s="243"/>
      <c r="J527" s="205"/>
      <c r="K527" s="206"/>
      <c r="L527" s="392"/>
    </row>
    <row r="528" spans="1:12" ht="15.5" thickTop="1" thickBot="1">
      <c r="A528" s="239"/>
      <c r="B528" s="204"/>
      <c r="C528" s="204"/>
      <c r="D528" s="240"/>
      <c r="E528" s="241"/>
      <c r="F528" s="242"/>
      <c r="G528" s="200"/>
      <c r="H528" s="200"/>
      <c r="I528" s="243"/>
      <c r="J528" s="205"/>
      <c r="K528" s="206"/>
      <c r="L528" s="392"/>
    </row>
    <row r="529" spans="1:12" ht="15.5" thickTop="1" thickBot="1">
      <c r="A529" s="239"/>
      <c r="B529" s="204"/>
      <c r="C529" s="204"/>
      <c r="D529" s="240"/>
      <c r="E529" s="241"/>
      <c r="F529" s="242"/>
      <c r="G529" s="200"/>
      <c r="H529" s="200"/>
      <c r="I529" s="243"/>
      <c r="J529" s="205"/>
      <c r="K529" s="206"/>
      <c r="L529" s="392"/>
    </row>
    <row r="530" spans="1:12" ht="15.5" thickTop="1" thickBot="1">
      <c r="A530" s="239"/>
      <c r="B530" s="204"/>
      <c r="C530" s="204"/>
      <c r="D530" s="240"/>
      <c r="E530" s="241"/>
      <c r="F530" s="242"/>
      <c r="G530" s="200"/>
      <c r="H530" s="200"/>
      <c r="I530" s="243"/>
      <c r="J530" s="205"/>
      <c r="K530" s="206"/>
      <c r="L530" s="392"/>
    </row>
    <row r="531" spans="1:12" ht="15.5" thickTop="1" thickBot="1">
      <c r="A531" s="239"/>
      <c r="B531" s="204"/>
      <c r="C531" s="204"/>
      <c r="D531" s="240"/>
      <c r="E531" s="241"/>
      <c r="F531" s="242"/>
      <c r="G531" s="200"/>
      <c r="H531" s="200"/>
      <c r="I531" s="243"/>
      <c r="J531" s="205"/>
      <c r="K531" s="206"/>
      <c r="L531" s="392"/>
    </row>
    <row r="532" spans="1:12" ht="15.5" thickTop="1" thickBot="1">
      <c r="A532" s="239"/>
      <c r="B532" s="204"/>
      <c r="C532" s="204"/>
      <c r="D532" s="240"/>
      <c r="E532" s="241"/>
      <c r="F532" s="242"/>
      <c r="G532" s="200"/>
      <c r="H532" s="200"/>
      <c r="I532" s="243"/>
      <c r="J532" s="205"/>
      <c r="K532" s="206"/>
      <c r="L532" s="392"/>
    </row>
    <row r="533" spans="1:12" ht="15.5" thickTop="1" thickBot="1">
      <c r="A533" s="239"/>
      <c r="B533" s="204"/>
      <c r="C533" s="204"/>
      <c r="D533" s="240"/>
      <c r="E533" s="241"/>
      <c r="F533" s="242"/>
      <c r="G533" s="200"/>
      <c r="H533" s="200"/>
      <c r="I533" s="243"/>
      <c r="J533" s="205"/>
      <c r="K533" s="206"/>
      <c r="L533" s="392"/>
    </row>
    <row r="534" spans="1:12" ht="15.5" thickTop="1" thickBot="1">
      <c r="A534" s="239"/>
      <c r="B534" s="204"/>
      <c r="C534" s="204"/>
      <c r="D534" s="240"/>
      <c r="E534" s="241"/>
      <c r="F534" s="242"/>
      <c r="G534" s="200"/>
      <c r="H534" s="200"/>
      <c r="I534" s="243"/>
      <c r="J534" s="205"/>
      <c r="K534" s="206"/>
      <c r="L534" s="392"/>
    </row>
    <row r="535" spans="1:12" ht="15.5" thickTop="1" thickBot="1">
      <c r="A535" s="239"/>
      <c r="B535" s="204"/>
      <c r="C535" s="204"/>
      <c r="D535" s="240"/>
      <c r="E535" s="241"/>
      <c r="F535" s="242"/>
      <c r="G535" s="200"/>
      <c r="H535" s="200"/>
      <c r="I535" s="243"/>
      <c r="J535" s="205"/>
      <c r="K535" s="206"/>
      <c r="L535" s="392"/>
    </row>
    <row r="536" spans="1:12" ht="15.5" thickTop="1" thickBot="1">
      <c r="A536" s="239"/>
      <c r="B536" s="204"/>
      <c r="C536" s="204"/>
      <c r="D536" s="240"/>
      <c r="E536" s="241"/>
      <c r="F536" s="242"/>
      <c r="G536" s="200"/>
      <c r="H536" s="200"/>
      <c r="I536" s="243"/>
      <c r="J536" s="205"/>
      <c r="K536" s="206"/>
      <c r="L536" s="392"/>
    </row>
    <row r="537" spans="1:12" ht="15.5" thickTop="1" thickBot="1">
      <c r="A537" s="239"/>
      <c r="B537" s="204"/>
      <c r="C537" s="204"/>
      <c r="D537" s="240"/>
      <c r="E537" s="241"/>
      <c r="F537" s="242"/>
      <c r="G537" s="200"/>
      <c r="H537" s="200"/>
      <c r="I537" s="243"/>
      <c r="J537" s="205"/>
      <c r="K537" s="206"/>
      <c r="L537" s="392"/>
    </row>
    <row r="538" spans="1:12" ht="15.5" thickTop="1" thickBot="1">
      <c r="A538" s="239"/>
      <c r="B538" s="204"/>
      <c r="C538" s="204"/>
      <c r="D538" s="240"/>
      <c r="E538" s="241"/>
      <c r="F538" s="242"/>
      <c r="G538" s="200"/>
      <c r="H538" s="200"/>
      <c r="I538" s="243"/>
      <c r="J538" s="205"/>
      <c r="K538" s="206"/>
      <c r="L538" s="392"/>
    </row>
    <row r="539" spans="1:12" ht="15.5" thickTop="1" thickBot="1">
      <c r="A539" s="239"/>
      <c r="B539" s="204"/>
      <c r="C539" s="204"/>
      <c r="D539" s="240"/>
      <c r="E539" s="241"/>
      <c r="F539" s="242"/>
      <c r="G539" s="200"/>
      <c r="H539" s="200"/>
      <c r="I539" s="243"/>
      <c r="J539" s="205"/>
      <c r="K539" s="206"/>
      <c r="L539" s="392"/>
    </row>
    <row r="540" spans="1:12" ht="15.5" thickTop="1" thickBot="1">
      <c r="A540" s="239"/>
      <c r="B540" s="204"/>
      <c r="C540" s="204"/>
      <c r="D540" s="240"/>
      <c r="E540" s="241"/>
      <c r="F540" s="242"/>
      <c r="G540" s="200"/>
      <c r="H540" s="200"/>
      <c r="I540" s="243"/>
      <c r="J540" s="205"/>
      <c r="K540" s="206"/>
      <c r="L540" s="392"/>
    </row>
    <row r="541" spans="1:12" ht="15.5" thickTop="1" thickBot="1">
      <c r="A541" s="239"/>
      <c r="B541" s="204"/>
      <c r="C541" s="204"/>
      <c r="D541" s="240"/>
      <c r="E541" s="241"/>
      <c r="F541" s="242"/>
      <c r="G541" s="200"/>
      <c r="H541" s="200"/>
      <c r="I541" s="243"/>
      <c r="J541" s="205"/>
      <c r="K541" s="206"/>
      <c r="L541" s="392"/>
    </row>
    <row r="542" spans="1:12" ht="15.5" thickTop="1" thickBot="1">
      <c r="A542" s="239"/>
      <c r="B542" s="204"/>
      <c r="C542" s="204"/>
      <c r="D542" s="240"/>
      <c r="E542" s="241"/>
      <c r="F542" s="242"/>
      <c r="G542" s="200"/>
      <c r="H542" s="200"/>
      <c r="I542" s="243"/>
      <c r="J542" s="205"/>
      <c r="K542" s="206"/>
      <c r="L542" s="392"/>
    </row>
    <row r="543" spans="1:12" ht="15.5" thickTop="1" thickBot="1">
      <c r="A543" s="239"/>
      <c r="B543" s="204"/>
      <c r="C543" s="204"/>
      <c r="D543" s="240"/>
      <c r="E543" s="241"/>
      <c r="F543" s="242"/>
      <c r="G543" s="200"/>
      <c r="H543" s="200"/>
      <c r="I543" s="243"/>
      <c r="J543" s="205"/>
      <c r="K543" s="206"/>
      <c r="L543" s="392"/>
    </row>
    <row r="544" spans="1:12" ht="15.5" thickTop="1" thickBot="1">
      <c r="A544" s="239"/>
      <c r="B544" s="204"/>
      <c r="C544" s="204"/>
      <c r="D544" s="240"/>
      <c r="E544" s="241"/>
      <c r="F544" s="242"/>
      <c r="G544" s="200"/>
      <c r="H544" s="200"/>
      <c r="I544" s="243"/>
      <c r="J544" s="205"/>
      <c r="K544" s="206"/>
      <c r="L544" s="392"/>
    </row>
    <row r="545" spans="1:12" ht="15.5" thickTop="1" thickBot="1">
      <c r="A545" s="239"/>
      <c r="B545" s="204"/>
      <c r="C545" s="204"/>
      <c r="D545" s="240"/>
      <c r="E545" s="241"/>
      <c r="F545" s="242"/>
      <c r="G545" s="200"/>
      <c r="H545" s="200"/>
      <c r="I545" s="243"/>
      <c r="J545" s="205"/>
      <c r="K545" s="206"/>
      <c r="L545" s="392"/>
    </row>
    <row r="546" spans="1:12" ht="15.5" thickTop="1" thickBot="1">
      <c r="A546" s="239"/>
      <c r="B546" s="204"/>
      <c r="C546" s="204"/>
      <c r="D546" s="240"/>
      <c r="E546" s="241"/>
      <c r="F546" s="242"/>
      <c r="G546" s="200"/>
      <c r="H546" s="200"/>
      <c r="I546" s="243"/>
      <c r="J546" s="205"/>
      <c r="K546" s="206"/>
      <c r="L546" s="392"/>
    </row>
    <row r="547" spans="1:12" ht="15.5" thickTop="1" thickBot="1">
      <c r="A547" s="239"/>
      <c r="B547" s="204"/>
      <c r="C547" s="204"/>
      <c r="D547" s="240"/>
      <c r="E547" s="241"/>
      <c r="F547" s="242"/>
      <c r="G547" s="200"/>
      <c r="H547" s="200"/>
      <c r="I547" s="243"/>
      <c r="J547" s="205"/>
      <c r="K547" s="206"/>
      <c r="L547" s="392"/>
    </row>
    <row r="548" spans="1:12" ht="15.5" thickTop="1" thickBot="1">
      <c r="A548" s="239"/>
      <c r="B548" s="204"/>
      <c r="C548" s="204"/>
      <c r="D548" s="240"/>
      <c r="E548" s="241"/>
      <c r="F548" s="242"/>
      <c r="G548" s="200"/>
      <c r="H548" s="200"/>
      <c r="I548" s="243"/>
      <c r="J548" s="205"/>
      <c r="K548" s="206"/>
      <c r="L548" s="392"/>
    </row>
    <row r="549" spans="1:12" ht="15.5" thickTop="1" thickBot="1">
      <c r="A549" s="239"/>
      <c r="B549" s="204"/>
      <c r="C549" s="204"/>
      <c r="D549" s="240"/>
      <c r="E549" s="241"/>
      <c r="F549" s="242"/>
      <c r="G549" s="200"/>
      <c r="H549" s="200"/>
      <c r="I549" s="243"/>
      <c r="J549" s="205"/>
      <c r="K549" s="206"/>
      <c r="L549" s="392"/>
    </row>
    <row r="550" spans="1:12" ht="15.5" thickTop="1" thickBot="1">
      <c r="A550" s="239"/>
      <c r="B550" s="204"/>
      <c r="C550" s="204"/>
      <c r="D550" s="240"/>
      <c r="E550" s="241"/>
      <c r="F550" s="242"/>
      <c r="G550" s="200"/>
      <c r="H550" s="200"/>
      <c r="I550" s="243"/>
      <c r="J550" s="205"/>
      <c r="K550" s="206"/>
      <c r="L550" s="392"/>
    </row>
    <row r="551" spans="1:12" ht="15.5" thickTop="1" thickBot="1">
      <c r="A551" s="239"/>
      <c r="B551" s="204"/>
      <c r="C551" s="204"/>
      <c r="D551" s="240"/>
      <c r="E551" s="241"/>
      <c r="F551" s="242"/>
      <c r="G551" s="200"/>
      <c r="H551" s="200"/>
      <c r="I551" s="243"/>
      <c r="J551" s="205"/>
      <c r="K551" s="206"/>
      <c r="L551" s="392"/>
    </row>
    <row r="552" spans="1:12" ht="15.5" thickTop="1" thickBot="1">
      <c r="A552" s="239"/>
      <c r="B552" s="204"/>
      <c r="C552" s="204"/>
      <c r="D552" s="240"/>
      <c r="E552" s="241"/>
      <c r="F552" s="242"/>
      <c r="G552" s="200"/>
      <c r="H552" s="200"/>
      <c r="I552" s="243"/>
      <c r="J552" s="205"/>
      <c r="K552" s="206"/>
      <c r="L552" s="392"/>
    </row>
    <row r="553" spans="1:12" ht="15.5" thickTop="1" thickBot="1">
      <c r="A553" s="239"/>
      <c r="B553" s="204"/>
      <c r="C553" s="204"/>
      <c r="D553" s="240"/>
      <c r="E553" s="241"/>
      <c r="F553" s="242"/>
      <c r="G553" s="200"/>
      <c r="H553" s="200"/>
      <c r="I553" s="243"/>
      <c r="J553" s="205"/>
      <c r="K553" s="206"/>
      <c r="L553" s="392"/>
    </row>
    <row r="554" spans="1:12" ht="15.5" thickTop="1" thickBot="1">
      <c r="A554" s="239"/>
      <c r="B554" s="204"/>
      <c r="C554" s="204"/>
      <c r="D554" s="240"/>
      <c r="E554" s="241"/>
      <c r="F554" s="242"/>
      <c r="G554" s="200"/>
      <c r="H554" s="200"/>
      <c r="I554" s="243"/>
      <c r="J554" s="205"/>
      <c r="K554" s="206"/>
      <c r="L554" s="392"/>
    </row>
    <row r="555" spans="1:12" ht="15.5" thickTop="1" thickBot="1">
      <c r="A555" s="239"/>
      <c r="B555" s="204"/>
      <c r="C555" s="204"/>
      <c r="D555" s="240"/>
      <c r="E555" s="241"/>
      <c r="F555" s="242"/>
      <c r="G555" s="200"/>
      <c r="H555" s="200"/>
      <c r="I555" s="243"/>
      <c r="J555" s="205"/>
      <c r="K555" s="206"/>
      <c r="L555" s="392"/>
    </row>
    <row r="556" spans="1:12" ht="15.5" thickTop="1" thickBot="1">
      <c r="A556" s="239"/>
      <c r="B556" s="204"/>
      <c r="C556" s="204"/>
      <c r="D556" s="240"/>
      <c r="E556" s="241"/>
      <c r="F556" s="242"/>
      <c r="G556" s="200"/>
      <c r="H556" s="200"/>
      <c r="I556" s="243"/>
      <c r="J556" s="205"/>
      <c r="K556" s="206"/>
      <c r="L556" s="392"/>
    </row>
    <row r="557" spans="1:12" ht="15.5" thickTop="1" thickBot="1">
      <c r="A557" s="239"/>
      <c r="B557" s="204"/>
      <c r="C557" s="204"/>
      <c r="D557" s="240"/>
      <c r="E557" s="241"/>
      <c r="F557" s="242"/>
      <c r="G557" s="200"/>
      <c r="H557" s="200"/>
      <c r="I557" s="243"/>
      <c r="J557" s="205"/>
      <c r="K557" s="206"/>
      <c r="L557" s="392"/>
    </row>
    <row r="558" spans="1:12" ht="15.5" thickTop="1" thickBot="1">
      <c r="A558" s="239"/>
      <c r="B558" s="204"/>
      <c r="C558" s="204"/>
      <c r="D558" s="240"/>
      <c r="E558" s="241"/>
      <c r="F558" s="242"/>
      <c r="G558" s="200"/>
      <c r="H558" s="200"/>
      <c r="I558" s="243"/>
      <c r="J558" s="205"/>
      <c r="K558" s="206"/>
      <c r="L558" s="392"/>
    </row>
    <row r="559" spans="1:12" ht="15.5" thickTop="1" thickBot="1">
      <c r="A559" s="239"/>
      <c r="B559" s="204"/>
      <c r="C559" s="204"/>
      <c r="D559" s="240"/>
      <c r="E559" s="241"/>
      <c r="F559" s="242"/>
      <c r="G559" s="200"/>
      <c r="H559" s="200"/>
      <c r="I559" s="243"/>
      <c r="J559" s="205"/>
      <c r="K559" s="206"/>
      <c r="L559" s="392"/>
    </row>
    <row r="560" spans="1:12" ht="15.5" thickTop="1" thickBot="1">
      <c r="A560" s="239"/>
      <c r="B560" s="204"/>
      <c r="C560" s="204"/>
      <c r="D560" s="240"/>
      <c r="E560" s="241"/>
      <c r="F560" s="242"/>
      <c r="G560" s="200"/>
      <c r="H560" s="200"/>
      <c r="I560" s="243"/>
      <c r="J560" s="205"/>
      <c r="K560" s="206"/>
      <c r="L560" s="392"/>
    </row>
    <row r="561" spans="1:12" ht="15.5" thickTop="1" thickBot="1">
      <c r="A561" s="239"/>
      <c r="B561" s="204"/>
      <c r="C561" s="204"/>
      <c r="D561" s="240"/>
      <c r="E561" s="241"/>
      <c r="F561" s="242"/>
      <c r="G561" s="200"/>
      <c r="H561" s="200"/>
      <c r="I561" s="243"/>
      <c r="J561" s="205"/>
      <c r="K561" s="206"/>
      <c r="L561" s="392"/>
    </row>
    <row r="562" spans="1:12" ht="15.5" thickTop="1" thickBot="1">
      <c r="A562" s="239"/>
      <c r="B562" s="204"/>
      <c r="C562" s="204"/>
      <c r="D562" s="240"/>
      <c r="E562" s="241"/>
      <c r="F562" s="242"/>
      <c r="G562" s="200"/>
      <c r="H562" s="200"/>
      <c r="I562" s="243"/>
      <c r="J562" s="205"/>
      <c r="K562" s="206"/>
      <c r="L562" s="392"/>
    </row>
    <row r="563" spans="1:12" ht="15.5" thickTop="1" thickBot="1">
      <c r="A563" s="239"/>
      <c r="B563" s="204"/>
      <c r="C563" s="204"/>
      <c r="D563" s="240"/>
      <c r="E563" s="241"/>
      <c r="F563" s="242"/>
      <c r="G563" s="200"/>
      <c r="H563" s="200"/>
      <c r="I563" s="243"/>
      <c r="J563" s="205"/>
      <c r="K563" s="206"/>
      <c r="L563" s="392"/>
    </row>
    <row r="564" spans="1:12" ht="15.5" thickTop="1" thickBot="1">
      <c r="A564" s="239"/>
      <c r="B564" s="204"/>
      <c r="C564" s="204"/>
      <c r="D564" s="240"/>
      <c r="E564" s="241"/>
      <c r="F564" s="242"/>
      <c r="G564" s="200"/>
      <c r="H564" s="200"/>
      <c r="I564" s="243"/>
      <c r="J564" s="205"/>
      <c r="K564" s="206"/>
      <c r="L564" s="392"/>
    </row>
    <row r="565" spans="1:12" ht="15.5" thickTop="1" thickBot="1">
      <c r="A565" s="239"/>
      <c r="B565" s="204"/>
      <c r="C565" s="204"/>
      <c r="D565" s="240"/>
      <c r="E565" s="241"/>
      <c r="F565" s="242"/>
      <c r="G565" s="200"/>
      <c r="H565" s="200"/>
      <c r="I565" s="243"/>
      <c r="J565" s="205"/>
      <c r="K565" s="206"/>
      <c r="L565" s="392"/>
    </row>
    <row r="566" spans="1:12" ht="15.5" thickTop="1" thickBot="1">
      <c r="A566" s="239"/>
      <c r="B566" s="204"/>
      <c r="C566" s="204"/>
      <c r="D566" s="240"/>
      <c r="E566" s="241"/>
      <c r="F566" s="242"/>
      <c r="G566" s="200"/>
      <c r="H566" s="200"/>
      <c r="I566" s="243"/>
      <c r="J566" s="205"/>
      <c r="K566" s="206"/>
      <c r="L566" s="392"/>
    </row>
    <row r="567" spans="1:12" ht="15.5" thickTop="1" thickBot="1">
      <c r="A567" s="239"/>
      <c r="B567" s="204"/>
      <c r="C567" s="204"/>
      <c r="D567" s="240"/>
      <c r="E567" s="241"/>
      <c r="F567" s="242"/>
      <c r="G567" s="200"/>
      <c r="H567" s="200"/>
      <c r="I567" s="243"/>
      <c r="J567" s="205"/>
      <c r="K567" s="206"/>
      <c r="L567" s="392"/>
    </row>
    <row r="568" spans="1:12" ht="15.5" thickTop="1" thickBot="1">
      <c r="A568" s="239"/>
      <c r="B568" s="204"/>
      <c r="C568" s="204"/>
      <c r="D568" s="240"/>
      <c r="E568" s="241"/>
      <c r="F568" s="242"/>
      <c r="G568" s="200"/>
      <c r="H568" s="200"/>
      <c r="I568" s="243"/>
      <c r="J568" s="205"/>
      <c r="K568" s="206"/>
      <c r="L568" s="392"/>
    </row>
    <row r="569" spans="1:12" ht="15.5" thickTop="1" thickBot="1">
      <c r="A569" s="239"/>
      <c r="B569" s="204"/>
      <c r="C569" s="204"/>
      <c r="D569" s="240"/>
      <c r="E569" s="241"/>
      <c r="F569" s="242"/>
      <c r="G569" s="200"/>
      <c r="H569" s="200"/>
      <c r="I569" s="243"/>
      <c r="J569" s="205"/>
      <c r="K569" s="206"/>
      <c r="L569" s="392"/>
    </row>
    <row r="570" spans="1:12" ht="15.5" thickTop="1" thickBot="1">
      <c r="A570" s="239"/>
      <c r="B570" s="204"/>
      <c r="C570" s="204"/>
      <c r="D570" s="240"/>
      <c r="E570" s="241"/>
      <c r="F570" s="242"/>
      <c r="G570" s="200"/>
      <c r="H570" s="200"/>
      <c r="I570" s="243"/>
      <c r="J570" s="205"/>
      <c r="K570" s="206"/>
      <c r="L570" s="392"/>
    </row>
    <row r="571" spans="1:12" ht="15.5" thickTop="1" thickBot="1">
      <c r="A571" s="239"/>
      <c r="B571" s="204"/>
      <c r="C571" s="204"/>
      <c r="D571" s="240"/>
      <c r="E571" s="241"/>
      <c r="F571" s="242"/>
      <c r="G571" s="200"/>
      <c r="H571" s="200"/>
      <c r="I571" s="243"/>
      <c r="J571" s="205"/>
      <c r="K571" s="206"/>
      <c r="L571" s="392"/>
    </row>
    <row r="572" spans="1:12" ht="15.5" thickTop="1" thickBot="1">
      <c r="A572" s="239"/>
      <c r="B572" s="204"/>
      <c r="C572" s="204"/>
      <c r="D572" s="240"/>
      <c r="E572" s="241"/>
      <c r="F572" s="242"/>
      <c r="G572" s="200"/>
      <c r="H572" s="200"/>
      <c r="I572" s="243"/>
      <c r="J572" s="205"/>
      <c r="K572" s="206"/>
      <c r="L572" s="392"/>
    </row>
    <row r="573" spans="1:12" ht="15.5" thickTop="1" thickBot="1">
      <c r="A573" s="239"/>
      <c r="B573" s="204"/>
      <c r="C573" s="204"/>
      <c r="D573" s="240"/>
      <c r="E573" s="241"/>
      <c r="F573" s="242"/>
      <c r="G573" s="200"/>
      <c r="H573" s="200"/>
      <c r="I573" s="243"/>
      <c r="J573" s="205"/>
      <c r="K573" s="206"/>
      <c r="L573" s="392"/>
    </row>
    <row r="574" spans="1:12" ht="15.5" thickTop="1" thickBot="1">
      <c r="A574" s="239"/>
      <c r="B574" s="204"/>
      <c r="C574" s="204"/>
      <c r="D574" s="240"/>
      <c r="E574" s="241"/>
      <c r="F574" s="242"/>
      <c r="G574" s="200"/>
      <c r="H574" s="200"/>
      <c r="I574" s="243"/>
      <c r="J574" s="205"/>
      <c r="K574" s="206"/>
      <c r="L574" s="392"/>
    </row>
    <row r="575" spans="1:12" ht="15.5" thickTop="1" thickBot="1">
      <c r="A575" s="239"/>
      <c r="B575" s="204"/>
      <c r="C575" s="204"/>
      <c r="D575" s="240"/>
      <c r="E575" s="241"/>
      <c r="F575" s="242"/>
      <c r="G575" s="200"/>
      <c r="H575" s="200"/>
      <c r="I575" s="243"/>
      <c r="J575" s="205"/>
      <c r="K575" s="206"/>
      <c r="L575" s="392"/>
    </row>
    <row r="576" spans="1:12" ht="15.5" thickTop="1" thickBot="1">
      <c r="A576" s="239"/>
      <c r="B576" s="204"/>
      <c r="C576" s="204"/>
      <c r="D576" s="240"/>
      <c r="E576" s="241"/>
      <c r="F576" s="242"/>
      <c r="G576" s="200"/>
      <c r="H576" s="200"/>
      <c r="I576" s="243"/>
      <c r="J576" s="205"/>
      <c r="K576" s="206"/>
      <c r="L576" s="392"/>
    </row>
    <row r="577" spans="1:12" ht="15.5" thickTop="1" thickBot="1">
      <c r="A577" s="239"/>
      <c r="B577" s="204"/>
      <c r="C577" s="204"/>
      <c r="D577" s="240"/>
      <c r="E577" s="241"/>
      <c r="F577" s="242"/>
      <c r="G577" s="200"/>
      <c r="H577" s="200"/>
      <c r="I577" s="243"/>
      <c r="J577" s="205"/>
      <c r="K577" s="206"/>
      <c r="L577" s="392"/>
    </row>
    <row r="578" spans="1:12" ht="15.5" thickTop="1" thickBot="1">
      <c r="A578" s="239"/>
      <c r="B578" s="204"/>
      <c r="C578" s="204"/>
      <c r="D578" s="240"/>
      <c r="E578" s="241"/>
      <c r="F578" s="242"/>
      <c r="G578" s="200"/>
      <c r="H578" s="200"/>
      <c r="I578" s="243"/>
      <c r="J578" s="205"/>
      <c r="K578" s="206"/>
      <c r="L578" s="392"/>
    </row>
    <row r="579" spans="1:12" ht="15.5" thickTop="1" thickBot="1">
      <c r="A579" s="239"/>
      <c r="B579" s="204"/>
      <c r="C579" s="204"/>
      <c r="D579" s="240"/>
      <c r="E579" s="241"/>
      <c r="F579" s="242"/>
      <c r="G579" s="200"/>
      <c r="H579" s="200"/>
      <c r="I579" s="243"/>
      <c r="J579" s="205"/>
      <c r="K579" s="206"/>
      <c r="L579" s="392"/>
    </row>
    <row r="580" spans="1:12" ht="15.5" thickTop="1" thickBot="1">
      <c r="A580" s="239"/>
      <c r="B580" s="204"/>
      <c r="C580" s="204"/>
      <c r="D580" s="240"/>
      <c r="E580" s="241"/>
      <c r="F580" s="242"/>
      <c r="G580" s="200"/>
      <c r="H580" s="200"/>
      <c r="I580" s="243"/>
      <c r="J580" s="205"/>
      <c r="K580" s="206"/>
      <c r="L580" s="392"/>
    </row>
    <row r="581" spans="1:12" ht="15.5" thickTop="1" thickBot="1">
      <c r="A581" s="239"/>
      <c r="B581" s="204"/>
      <c r="C581" s="204"/>
      <c r="D581" s="240"/>
      <c r="E581" s="241"/>
      <c r="F581" s="242"/>
      <c r="G581" s="200"/>
      <c r="H581" s="200"/>
      <c r="I581" s="243"/>
      <c r="J581" s="205"/>
      <c r="K581" s="206"/>
      <c r="L581" s="392"/>
    </row>
    <row r="582" spans="1:12" ht="15.5" thickTop="1" thickBot="1">
      <c r="A582" s="239"/>
      <c r="B582" s="204"/>
      <c r="C582" s="204"/>
      <c r="D582" s="240"/>
      <c r="E582" s="241"/>
      <c r="F582" s="242"/>
      <c r="G582" s="200"/>
      <c r="H582" s="200"/>
      <c r="I582" s="243"/>
      <c r="J582" s="205"/>
      <c r="K582" s="206"/>
      <c r="L582" s="392"/>
    </row>
    <row r="583" spans="1:12" ht="15.5" thickTop="1" thickBot="1">
      <c r="A583" s="239"/>
      <c r="B583" s="204"/>
      <c r="C583" s="204"/>
      <c r="D583" s="240"/>
      <c r="E583" s="241"/>
      <c r="F583" s="242"/>
      <c r="G583" s="200"/>
      <c r="H583" s="200"/>
      <c r="I583" s="243"/>
      <c r="J583" s="205"/>
      <c r="K583" s="206"/>
      <c r="L583" s="392"/>
    </row>
    <row r="584" spans="1:12" ht="15.5" thickTop="1" thickBot="1">
      <c r="A584" s="239"/>
      <c r="B584" s="204"/>
      <c r="C584" s="204"/>
      <c r="D584" s="240"/>
      <c r="E584" s="241"/>
      <c r="F584" s="242"/>
      <c r="G584" s="200"/>
      <c r="H584" s="200"/>
      <c r="I584" s="243"/>
      <c r="J584" s="205"/>
      <c r="K584" s="206"/>
      <c r="L584" s="392"/>
    </row>
    <row r="585" spans="1:12" ht="15.5" thickTop="1" thickBot="1">
      <c r="A585" s="239"/>
      <c r="B585" s="204"/>
      <c r="C585" s="204"/>
      <c r="D585" s="240"/>
      <c r="E585" s="241"/>
      <c r="F585" s="242"/>
      <c r="G585" s="200"/>
      <c r="H585" s="200"/>
      <c r="I585" s="243"/>
      <c r="J585" s="205"/>
      <c r="K585" s="206"/>
      <c r="L585" s="392"/>
    </row>
    <row r="586" spans="1:12" ht="15.5" thickTop="1" thickBot="1">
      <c r="A586" s="239"/>
      <c r="B586" s="204"/>
      <c r="C586" s="204"/>
      <c r="D586" s="240"/>
      <c r="E586" s="241"/>
      <c r="F586" s="242"/>
      <c r="G586" s="200"/>
      <c r="H586" s="200"/>
      <c r="I586" s="243"/>
      <c r="J586" s="205"/>
      <c r="K586" s="206"/>
      <c r="L586" s="392"/>
    </row>
    <row r="587" spans="1:12" ht="15.5" thickTop="1" thickBot="1">
      <c r="A587" s="239"/>
      <c r="B587" s="204"/>
      <c r="C587" s="204"/>
      <c r="D587" s="240"/>
      <c r="E587" s="241"/>
      <c r="F587" s="242"/>
      <c r="G587" s="200"/>
      <c r="H587" s="200"/>
      <c r="I587" s="243"/>
      <c r="J587" s="205"/>
      <c r="K587" s="206"/>
      <c r="L587" s="392"/>
    </row>
    <row r="588" spans="1:12" ht="15.5" thickTop="1" thickBot="1">
      <c r="A588" s="239"/>
      <c r="B588" s="204"/>
      <c r="C588" s="204"/>
      <c r="D588" s="240"/>
      <c r="E588" s="241"/>
      <c r="F588" s="242"/>
      <c r="G588" s="200"/>
      <c r="H588" s="200"/>
      <c r="I588" s="243"/>
      <c r="J588" s="205"/>
      <c r="K588" s="206"/>
      <c r="L588" s="392"/>
    </row>
    <row r="589" spans="1:12" ht="15.5" thickTop="1" thickBot="1">
      <c r="A589" s="239"/>
      <c r="B589" s="204"/>
      <c r="C589" s="204"/>
      <c r="D589" s="240"/>
      <c r="E589" s="241"/>
      <c r="F589" s="242"/>
      <c r="G589" s="200"/>
      <c r="H589" s="200"/>
      <c r="I589" s="243"/>
      <c r="J589" s="205"/>
      <c r="K589" s="206"/>
      <c r="L589" s="392"/>
    </row>
    <row r="590" spans="1:12" ht="15.5" thickTop="1" thickBot="1">
      <c r="A590" s="239"/>
      <c r="B590" s="204"/>
      <c r="C590" s="204"/>
      <c r="D590" s="240"/>
      <c r="E590" s="241"/>
      <c r="F590" s="242"/>
      <c r="G590" s="200"/>
      <c r="H590" s="200"/>
      <c r="I590" s="243"/>
      <c r="J590" s="205"/>
      <c r="K590" s="206"/>
      <c r="L590" s="392"/>
    </row>
    <row r="591" spans="1:12" ht="15.5" thickTop="1" thickBot="1">
      <c r="A591" s="239"/>
      <c r="B591" s="204"/>
      <c r="C591" s="204"/>
      <c r="D591" s="240"/>
      <c r="E591" s="241"/>
      <c r="F591" s="242"/>
      <c r="G591" s="200"/>
      <c r="H591" s="200"/>
      <c r="I591" s="243"/>
      <c r="J591" s="205"/>
      <c r="K591" s="206"/>
      <c r="L591" s="392"/>
    </row>
    <row r="592" spans="1:12" ht="15.5" thickTop="1" thickBot="1">
      <c r="A592" s="239"/>
      <c r="B592" s="204"/>
      <c r="C592" s="204"/>
      <c r="D592" s="240"/>
      <c r="E592" s="241"/>
      <c r="F592" s="242"/>
      <c r="G592" s="200"/>
      <c r="H592" s="200"/>
      <c r="I592" s="243"/>
      <c r="J592" s="205"/>
      <c r="K592" s="206"/>
      <c r="L592" s="392"/>
    </row>
    <row r="593" spans="1:12" ht="15.5" thickTop="1" thickBot="1">
      <c r="A593" s="239"/>
      <c r="B593" s="204"/>
      <c r="C593" s="204"/>
      <c r="D593" s="240"/>
      <c r="E593" s="241"/>
      <c r="F593" s="242"/>
      <c r="G593" s="200"/>
      <c r="H593" s="200"/>
      <c r="I593" s="243"/>
      <c r="J593" s="205"/>
      <c r="K593" s="206"/>
      <c r="L593" s="392"/>
    </row>
    <row r="594" spans="1:12" ht="15.5" thickTop="1" thickBot="1">
      <c r="A594" s="239"/>
      <c r="B594" s="204"/>
      <c r="C594" s="204"/>
      <c r="D594" s="240"/>
      <c r="E594" s="241"/>
      <c r="F594" s="242"/>
      <c r="G594" s="200"/>
      <c r="H594" s="200"/>
      <c r="I594" s="243"/>
      <c r="J594" s="205"/>
      <c r="K594" s="206"/>
      <c r="L594" s="392"/>
    </row>
    <row r="595" spans="1:12" ht="15.5" thickTop="1" thickBot="1">
      <c r="A595" s="239"/>
      <c r="B595" s="204"/>
      <c r="C595" s="204"/>
      <c r="D595" s="240"/>
      <c r="E595" s="241"/>
      <c r="F595" s="242"/>
      <c r="G595" s="200"/>
      <c r="H595" s="200"/>
      <c r="I595" s="243"/>
      <c r="J595" s="205"/>
      <c r="K595" s="206"/>
      <c r="L595" s="392"/>
    </row>
    <row r="596" spans="1:12" ht="15.5" thickTop="1" thickBot="1">
      <c r="A596" s="239"/>
      <c r="B596" s="204"/>
      <c r="C596" s="204"/>
      <c r="D596" s="240"/>
      <c r="E596" s="241"/>
      <c r="F596" s="242"/>
      <c r="G596" s="200"/>
      <c r="H596" s="200"/>
      <c r="I596" s="243"/>
      <c r="J596" s="205"/>
      <c r="K596" s="206"/>
      <c r="L596" s="392"/>
    </row>
    <row r="597" spans="1:12" ht="15.5" thickTop="1" thickBot="1">
      <c r="A597" s="239"/>
      <c r="B597" s="204"/>
      <c r="C597" s="204"/>
      <c r="D597" s="240"/>
      <c r="E597" s="241"/>
      <c r="F597" s="242"/>
      <c r="G597" s="200"/>
      <c r="H597" s="200"/>
      <c r="I597" s="243"/>
      <c r="J597" s="205"/>
      <c r="K597" s="206"/>
      <c r="L597" s="392"/>
    </row>
    <row r="598" spans="1:12" ht="15.5" thickTop="1" thickBot="1">
      <c r="A598" s="239"/>
      <c r="B598" s="204"/>
      <c r="C598" s="204"/>
      <c r="D598" s="240"/>
      <c r="E598" s="241"/>
      <c r="F598" s="242"/>
      <c r="G598" s="200"/>
      <c r="H598" s="200"/>
      <c r="I598" s="243"/>
      <c r="J598" s="205"/>
      <c r="K598" s="206"/>
      <c r="L598" s="392"/>
    </row>
    <row r="599" spans="1:12" ht="15.5" thickTop="1" thickBot="1">
      <c r="A599" s="239"/>
      <c r="B599" s="204"/>
      <c r="C599" s="204"/>
      <c r="D599" s="240"/>
      <c r="E599" s="241"/>
      <c r="F599" s="242"/>
      <c r="G599" s="200"/>
      <c r="H599" s="200"/>
      <c r="I599" s="243"/>
      <c r="J599" s="205"/>
      <c r="K599" s="206"/>
      <c r="L599" s="392"/>
    </row>
    <row r="600" spans="1:12" ht="15.5" thickTop="1" thickBot="1">
      <c r="A600" s="239"/>
      <c r="B600" s="204"/>
      <c r="C600" s="204"/>
      <c r="D600" s="240"/>
      <c r="E600" s="241"/>
      <c r="F600" s="242"/>
      <c r="G600" s="200"/>
      <c r="H600" s="200"/>
      <c r="I600" s="243"/>
      <c r="J600" s="205"/>
      <c r="K600" s="206"/>
      <c r="L600" s="392"/>
    </row>
    <row r="601" spans="1:12" ht="15.5" thickTop="1" thickBot="1">
      <c r="A601" s="239"/>
      <c r="B601" s="204"/>
      <c r="C601" s="204"/>
      <c r="D601" s="240"/>
      <c r="E601" s="241"/>
      <c r="F601" s="242"/>
      <c r="G601" s="200"/>
      <c r="H601" s="200"/>
      <c r="I601" s="243"/>
      <c r="J601" s="205"/>
      <c r="K601" s="206"/>
      <c r="L601" s="392"/>
    </row>
    <row r="602" spans="1:12" ht="15.5" thickTop="1" thickBot="1">
      <c r="A602" s="239"/>
      <c r="B602" s="204"/>
      <c r="C602" s="204"/>
      <c r="D602" s="240"/>
      <c r="E602" s="241"/>
      <c r="F602" s="242"/>
      <c r="G602" s="200"/>
      <c r="H602" s="200"/>
      <c r="I602" s="243"/>
      <c r="J602" s="205"/>
      <c r="K602" s="206"/>
      <c r="L602" s="392"/>
    </row>
    <row r="603" spans="1:12" ht="15.5" thickTop="1" thickBot="1">
      <c r="A603" s="239"/>
      <c r="B603" s="204"/>
      <c r="C603" s="204"/>
      <c r="D603" s="240"/>
      <c r="E603" s="241"/>
      <c r="F603" s="242"/>
      <c r="G603" s="200"/>
      <c r="H603" s="200"/>
      <c r="I603" s="243"/>
      <c r="J603" s="205"/>
      <c r="K603" s="206"/>
      <c r="L603" s="392"/>
    </row>
    <row r="604" spans="1:12" ht="15.5" thickTop="1" thickBot="1">
      <c r="A604" s="239"/>
      <c r="B604" s="204"/>
      <c r="C604" s="204"/>
      <c r="D604" s="240"/>
      <c r="E604" s="241"/>
      <c r="F604" s="242"/>
      <c r="G604" s="200"/>
      <c r="H604" s="200"/>
      <c r="I604" s="243"/>
      <c r="J604" s="205"/>
      <c r="K604" s="206"/>
      <c r="L604" s="392"/>
    </row>
    <row r="605" spans="1:12" ht="15.5" thickTop="1" thickBot="1">
      <c r="A605" s="239"/>
      <c r="B605" s="204"/>
      <c r="C605" s="204"/>
      <c r="D605" s="240"/>
      <c r="E605" s="241"/>
      <c r="F605" s="242"/>
      <c r="G605" s="200"/>
      <c r="H605" s="200"/>
      <c r="I605" s="243"/>
      <c r="J605" s="205"/>
      <c r="K605" s="206"/>
      <c r="L605" s="392"/>
    </row>
    <row r="606" spans="1:12" ht="15.5" thickTop="1" thickBot="1">
      <c r="A606" s="239"/>
      <c r="B606" s="204"/>
      <c r="C606" s="204"/>
      <c r="D606" s="240"/>
      <c r="E606" s="241"/>
      <c r="F606" s="242"/>
      <c r="G606" s="200"/>
      <c r="H606" s="200"/>
      <c r="I606" s="243"/>
      <c r="J606" s="205"/>
      <c r="K606" s="206"/>
      <c r="L606" s="392"/>
    </row>
    <row r="607" spans="1:12" ht="15.5" thickTop="1" thickBot="1">
      <c r="A607" s="239"/>
      <c r="B607" s="204"/>
      <c r="C607" s="204"/>
      <c r="D607" s="240"/>
      <c r="E607" s="241"/>
      <c r="F607" s="242"/>
      <c r="G607" s="200"/>
      <c r="H607" s="200"/>
      <c r="I607" s="243"/>
      <c r="J607" s="205"/>
      <c r="K607" s="206"/>
      <c r="L607" s="392"/>
    </row>
    <row r="608" spans="1:12" ht="15.5" thickTop="1" thickBot="1">
      <c r="A608" s="239"/>
      <c r="B608" s="204"/>
      <c r="C608" s="204"/>
      <c r="D608" s="240"/>
      <c r="E608" s="241"/>
      <c r="F608" s="242"/>
      <c r="G608" s="200"/>
      <c r="H608" s="200"/>
      <c r="I608" s="243"/>
      <c r="J608" s="205"/>
      <c r="K608" s="206"/>
      <c r="L608" s="392"/>
    </row>
    <row r="609" spans="1:12" ht="15.5" thickTop="1" thickBot="1">
      <c r="A609" s="239"/>
      <c r="B609" s="204"/>
      <c r="C609" s="204"/>
      <c r="D609" s="240"/>
      <c r="E609" s="241"/>
      <c r="F609" s="242"/>
      <c r="G609" s="200"/>
      <c r="H609" s="200"/>
      <c r="I609" s="243"/>
      <c r="J609" s="205"/>
      <c r="K609" s="206"/>
      <c r="L609" s="392"/>
    </row>
    <row r="610" spans="1:12" ht="15.5" thickTop="1" thickBot="1">
      <c r="A610" s="239"/>
      <c r="B610" s="204"/>
      <c r="C610" s="204"/>
      <c r="D610" s="240"/>
      <c r="E610" s="241"/>
      <c r="F610" s="242"/>
      <c r="G610" s="200"/>
      <c r="H610" s="200"/>
      <c r="I610" s="243"/>
      <c r="J610" s="205"/>
      <c r="K610" s="206"/>
      <c r="L610" s="392"/>
    </row>
    <row r="611" spans="1:12" ht="15.5" thickTop="1" thickBot="1">
      <c r="A611" s="239"/>
      <c r="B611" s="204"/>
      <c r="C611" s="204"/>
      <c r="D611" s="240"/>
      <c r="E611" s="241"/>
      <c r="F611" s="242"/>
      <c r="G611" s="200"/>
      <c r="H611" s="200"/>
      <c r="I611" s="243"/>
      <c r="J611" s="205"/>
      <c r="K611" s="206"/>
      <c r="L611" s="392"/>
    </row>
    <row r="612" spans="1:12" ht="15.5" thickTop="1" thickBot="1">
      <c r="A612" s="239"/>
      <c r="B612" s="204"/>
      <c r="C612" s="204"/>
      <c r="D612" s="240"/>
      <c r="E612" s="241"/>
      <c r="F612" s="242"/>
      <c r="G612" s="200"/>
      <c r="H612" s="200"/>
      <c r="I612" s="243"/>
      <c r="J612" s="205"/>
      <c r="K612" s="206"/>
      <c r="L612" s="392"/>
    </row>
    <row r="613" spans="1:12" ht="15.5" thickTop="1" thickBot="1">
      <c r="A613" s="239"/>
      <c r="B613" s="204"/>
      <c r="C613" s="204"/>
      <c r="D613" s="240"/>
      <c r="E613" s="241"/>
      <c r="F613" s="242"/>
      <c r="G613" s="200"/>
      <c r="H613" s="200"/>
      <c r="I613" s="243"/>
      <c r="J613" s="205"/>
      <c r="K613" s="206"/>
      <c r="L613" s="392"/>
    </row>
    <row r="614" spans="1:12" ht="15.5" thickTop="1" thickBot="1">
      <c r="A614" s="239"/>
      <c r="B614" s="204"/>
      <c r="C614" s="204"/>
      <c r="D614" s="240"/>
      <c r="E614" s="241"/>
      <c r="F614" s="242"/>
      <c r="G614" s="200"/>
      <c r="H614" s="200"/>
      <c r="I614" s="243"/>
      <c r="J614" s="205"/>
      <c r="K614" s="206"/>
      <c r="L614" s="392"/>
    </row>
    <row r="615" spans="1:12" ht="15.5" thickTop="1" thickBot="1">
      <c r="A615" s="239"/>
      <c r="B615" s="204"/>
      <c r="C615" s="204"/>
      <c r="D615" s="240"/>
      <c r="E615" s="241"/>
      <c r="F615" s="242"/>
      <c r="G615" s="200"/>
      <c r="H615" s="200"/>
      <c r="I615" s="243"/>
      <c r="J615" s="205"/>
      <c r="K615" s="206"/>
      <c r="L615" s="392"/>
    </row>
    <row r="616" spans="1:12" ht="15.5" thickTop="1" thickBot="1">
      <c r="A616" s="239"/>
      <c r="B616" s="204"/>
      <c r="C616" s="204"/>
      <c r="D616" s="240"/>
      <c r="E616" s="241"/>
      <c r="F616" s="242"/>
      <c r="G616" s="200"/>
      <c r="H616" s="200"/>
      <c r="I616" s="243"/>
      <c r="J616" s="205"/>
      <c r="K616" s="206"/>
      <c r="L616" s="392"/>
    </row>
    <row r="617" spans="1:12" ht="15.5" thickTop="1" thickBot="1">
      <c r="A617" s="239"/>
      <c r="B617" s="204"/>
      <c r="C617" s="204"/>
      <c r="D617" s="240"/>
      <c r="E617" s="241"/>
      <c r="F617" s="242"/>
      <c r="G617" s="200"/>
      <c r="H617" s="200"/>
      <c r="I617" s="243"/>
      <c r="J617" s="205"/>
      <c r="K617" s="206"/>
      <c r="L617" s="392"/>
    </row>
    <row r="618" spans="1:12" ht="15.5" thickTop="1" thickBot="1">
      <c r="A618" s="239"/>
      <c r="B618" s="204"/>
      <c r="C618" s="204"/>
      <c r="D618" s="240"/>
      <c r="E618" s="241"/>
      <c r="F618" s="242"/>
      <c r="G618" s="200"/>
      <c r="H618" s="200"/>
      <c r="I618" s="243"/>
      <c r="J618" s="205"/>
      <c r="K618" s="206"/>
      <c r="L618" s="392"/>
    </row>
    <row r="619" spans="1:12" ht="15.5" thickTop="1" thickBot="1">
      <c r="A619" s="239"/>
      <c r="B619" s="204"/>
      <c r="C619" s="204"/>
      <c r="D619" s="240"/>
      <c r="E619" s="241"/>
      <c r="F619" s="242"/>
      <c r="G619" s="200"/>
      <c r="H619" s="200"/>
      <c r="I619" s="243"/>
      <c r="J619" s="205"/>
      <c r="K619" s="206"/>
      <c r="L619" s="392"/>
    </row>
    <row r="620" spans="1:12" ht="15.5" thickTop="1" thickBot="1">
      <c r="A620" s="239"/>
      <c r="B620" s="204"/>
      <c r="C620" s="204"/>
      <c r="D620" s="240"/>
      <c r="E620" s="241"/>
      <c r="F620" s="242"/>
      <c r="G620" s="200"/>
      <c r="H620" s="200"/>
      <c r="I620" s="243"/>
      <c r="J620" s="205"/>
      <c r="K620" s="206"/>
      <c r="L620" s="392"/>
    </row>
    <row r="621" spans="1:12" ht="15.5" thickTop="1" thickBot="1">
      <c r="A621" s="239"/>
      <c r="B621" s="204"/>
      <c r="C621" s="204"/>
      <c r="D621" s="240"/>
      <c r="E621" s="241"/>
      <c r="F621" s="242"/>
      <c r="G621" s="200"/>
      <c r="H621" s="200"/>
      <c r="I621" s="243"/>
      <c r="J621" s="205"/>
      <c r="K621" s="206"/>
      <c r="L621" s="392"/>
    </row>
    <row r="622" spans="1:12" ht="15.5" thickTop="1" thickBot="1">
      <c r="A622" s="239"/>
      <c r="B622" s="204"/>
      <c r="C622" s="204"/>
      <c r="D622" s="240"/>
      <c r="E622" s="241"/>
      <c r="F622" s="242"/>
      <c r="G622" s="200"/>
      <c r="H622" s="200"/>
      <c r="I622" s="243"/>
      <c r="J622" s="205"/>
      <c r="K622" s="206"/>
      <c r="L622" s="392"/>
    </row>
    <row r="623" spans="1:12" ht="15.5" thickTop="1" thickBot="1">
      <c r="A623" s="239"/>
      <c r="B623" s="204"/>
      <c r="C623" s="204"/>
      <c r="D623" s="240"/>
      <c r="E623" s="241"/>
      <c r="F623" s="242"/>
      <c r="G623" s="200"/>
      <c r="H623" s="200"/>
      <c r="I623" s="243"/>
      <c r="J623" s="205"/>
      <c r="K623" s="206"/>
      <c r="L623" s="392"/>
    </row>
    <row r="624" spans="1:12" ht="15.5" thickTop="1" thickBot="1">
      <c r="A624" s="239"/>
      <c r="B624" s="204"/>
      <c r="C624" s="204"/>
      <c r="D624" s="240"/>
      <c r="E624" s="241"/>
      <c r="F624" s="242"/>
      <c r="G624" s="200"/>
      <c r="H624" s="200"/>
      <c r="I624" s="243"/>
      <c r="J624" s="205"/>
      <c r="K624" s="206"/>
      <c r="L624" s="392"/>
    </row>
    <row r="625" spans="1:12" ht="15.5" thickTop="1" thickBot="1">
      <c r="A625" s="239"/>
      <c r="B625" s="204"/>
      <c r="C625" s="204"/>
      <c r="D625" s="240"/>
      <c r="E625" s="241"/>
      <c r="F625" s="242"/>
      <c r="G625" s="200"/>
      <c r="H625" s="200"/>
      <c r="I625" s="243"/>
      <c r="J625" s="205"/>
      <c r="K625" s="206"/>
      <c r="L625" s="392"/>
    </row>
    <row r="626" spans="1:12" ht="15.5" thickTop="1" thickBot="1">
      <c r="A626" s="239"/>
      <c r="B626" s="204"/>
      <c r="C626" s="204"/>
      <c r="D626" s="240"/>
      <c r="E626" s="241"/>
      <c r="F626" s="242"/>
      <c r="G626" s="200"/>
      <c r="H626" s="200"/>
      <c r="I626" s="243"/>
      <c r="J626" s="205"/>
      <c r="K626" s="206"/>
      <c r="L626" s="392"/>
    </row>
    <row r="627" spans="1:12" ht="15.5" thickTop="1" thickBot="1">
      <c r="A627" s="239"/>
      <c r="B627" s="204"/>
      <c r="C627" s="204"/>
      <c r="D627" s="240"/>
      <c r="E627" s="241"/>
      <c r="F627" s="242"/>
      <c r="G627" s="200"/>
      <c r="H627" s="200"/>
      <c r="I627" s="243"/>
      <c r="J627" s="205"/>
      <c r="K627" s="206"/>
      <c r="L627" s="392"/>
    </row>
    <row r="628" spans="1:12" ht="15.5" thickTop="1" thickBot="1">
      <c r="A628" s="239"/>
      <c r="B628" s="204"/>
      <c r="C628" s="204"/>
      <c r="D628" s="240"/>
      <c r="E628" s="241"/>
      <c r="F628" s="242"/>
      <c r="G628" s="200"/>
      <c r="H628" s="200"/>
      <c r="I628" s="243"/>
      <c r="J628" s="205"/>
      <c r="K628" s="206"/>
      <c r="L628" s="392"/>
    </row>
    <row r="629" spans="1:12" ht="15.5" thickTop="1" thickBot="1">
      <c r="A629" s="239"/>
      <c r="B629" s="204"/>
      <c r="C629" s="204"/>
      <c r="D629" s="240"/>
      <c r="E629" s="241"/>
      <c r="F629" s="242"/>
      <c r="G629" s="200"/>
      <c r="H629" s="200"/>
      <c r="I629" s="243"/>
      <c r="J629" s="205"/>
      <c r="K629" s="206"/>
      <c r="L629" s="392"/>
    </row>
    <row r="630" spans="1:12" ht="15.5" thickTop="1" thickBot="1">
      <c r="A630" s="239"/>
      <c r="B630" s="204"/>
      <c r="C630" s="204"/>
      <c r="D630" s="240"/>
      <c r="E630" s="241"/>
      <c r="F630" s="242"/>
      <c r="G630" s="200"/>
      <c r="H630" s="200"/>
      <c r="I630" s="243"/>
      <c r="J630" s="205"/>
      <c r="K630" s="206"/>
      <c r="L630" s="392"/>
    </row>
    <row r="631" spans="1:12" ht="15.5" thickTop="1" thickBot="1">
      <c r="A631" s="239"/>
      <c r="B631" s="204"/>
      <c r="C631" s="204"/>
      <c r="D631" s="240"/>
      <c r="E631" s="241"/>
      <c r="F631" s="242"/>
      <c r="G631" s="200"/>
      <c r="H631" s="200"/>
      <c r="I631" s="243"/>
      <c r="J631" s="205"/>
      <c r="K631" s="206"/>
      <c r="L631" s="392"/>
    </row>
    <row r="632" spans="1:12" ht="15.5" thickTop="1" thickBot="1">
      <c r="A632" s="239"/>
      <c r="B632" s="204"/>
      <c r="C632" s="204"/>
      <c r="D632" s="240"/>
      <c r="E632" s="241"/>
      <c r="F632" s="242"/>
      <c r="G632" s="200"/>
      <c r="H632" s="200"/>
      <c r="I632" s="243"/>
      <c r="J632" s="205"/>
      <c r="K632" s="206"/>
      <c r="L632" s="392"/>
    </row>
    <row r="633" spans="1:12" ht="15.5" thickTop="1" thickBot="1">
      <c r="A633" s="239"/>
      <c r="B633" s="204"/>
      <c r="C633" s="204"/>
      <c r="D633" s="240"/>
      <c r="E633" s="241"/>
      <c r="F633" s="242"/>
      <c r="G633" s="200"/>
      <c r="H633" s="200"/>
      <c r="I633" s="243"/>
      <c r="J633" s="205"/>
      <c r="K633" s="206"/>
      <c r="L633" s="392"/>
    </row>
    <row r="634" spans="1:12" ht="15.5" thickTop="1" thickBot="1">
      <c r="A634" s="239"/>
      <c r="B634" s="204"/>
      <c r="C634" s="204"/>
      <c r="D634" s="240"/>
      <c r="E634" s="241"/>
      <c r="F634" s="242"/>
      <c r="G634" s="200"/>
      <c r="H634" s="200"/>
      <c r="I634" s="243"/>
      <c r="J634" s="205"/>
      <c r="K634" s="206"/>
      <c r="L634" s="392"/>
    </row>
    <row r="635" spans="1:12" ht="15.5" thickTop="1" thickBot="1">
      <c r="A635" s="239"/>
      <c r="B635" s="204"/>
      <c r="C635" s="204"/>
      <c r="D635" s="240"/>
      <c r="E635" s="241"/>
      <c r="F635" s="242"/>
      <c r="G635" s="200"/>
      <c r="H635" s="200"/>
      <c r="I635" s="243"/>
      <c r="J635" s="205"/>
      <c r="K635" s="206"/>
      <c r="L635" s="392"/>
    </row>
    <row r="636" spans="1:12" ht="15.5" thickTop="1" thickBot="1">
      <c r="A636" s="239"/>
      <c r="B636" s="204"/>
      <c r="C636" s="204"/>
      <c r="D636" s="240"/>
      <c r="E636" s="241"/>
      <c r="F636" s="242"/>
      <c r="G636" s="200"/>
      <c r="H636" s="200"/>
      <c r="I636" s="243"/>
      <c r="J636" s="205"/>
      <c r="K636" s="206"/>
      <c r="L636" s="392"/>
    </row>
    <row r="637" spans="1:12" ht="15.5" thickTop="1" thickBot="1">
      <c r="A637" s="239"/>
      <c r="B637" s="204"/>
      <c r="C637" s="204"/>
      <c r="D637" s="240"/>
      <c r="E637" s="241"/>
      <c r="F637" s="242"/>
      <c r="G637" s="200"/>
      <c r="H637" s="200"/>
      <c r="I637" s="243"/>
      <c r="J637" s="205"/>
      <c r="K637" s="206"/>
      <c r="L637" s="392"/>
    </row>
    <row r="638" spans="1:12" ht="15.5" thickTop="1" thickBot="1">
      <c r="A638" s="239"/>
      <c r="B638" s="204"/>
      <c r="C638" s="204"/>
      <c r="D638" s="240"/>
      <c r="E638" s="241"/>
      <c r="F638" s="242"/>
      <c r="G638" s="200"/>
      <c r="H638" s="200"/>
      <c r="I638" s="243"/>
      <c r="J638" s="205"/>
      <c r="K638" s="206"/>
      <c r="L638" s="392"/>
    </row>
    <row r="639" spans="1:12" ht="15.5" thickTop="1" thickBot="1">
      <c r="A639" s="239"/>
      <c r="B639" s="204"/>
      <c r="C639" s="204"/>
      <c r="D639" s="240"/>
      <c r="E639" s="241"/>
      <c r="F639" s="242"/>
      <c r="G639" s="200"/>
      <c r="H639" s="200"/>
      <c r="I639" s="243"/>
      <c r="J639" s="205"/>
      <c r="K639" s="206"/>
      <c r="L639" s="392"/>
    </row>
    <row r="640" spans="1:12" ht="15.5" thickTop="1" thickBot="1">
      <c r="A640" s="239"/>
      <c r="B640" s="204"/>
      <c r="C640" s="204"/>
      <c r="D640" s="240"/>
      <c r="E640" s="241"/>
      <c r="F640" s="242"/>
      <c r="G640" s="200"/>
      <c r="H640" s="200"/>
      <c r="I640" s="243"/>
      <c r="J640" s="205"/>
      <c r="K640" s="206"/>
      <c r="L640" s="392"/>
    </row>
    <row r="641" spans="1:12" ht="15.5" thickTop="1" thickBot="1">
      <c r="A641" s="239"/>
      <c r="B641" s="204"/>
      <c r="C641" s="204"/>
      <c r="D641" s="240"/>
      <c r="E641" s="241"/>
      <c r="F641" s="242"/>
      <c r="G641" s="200"/>
      <c r="H641" s="200"/>
      <c r="I641" s="243"/>
      <c r="J641" s="205"/>
      <c r="K641" s="206"/>
      <c r="L641" s="392"/>
    </row>
    <row r="642" spans="1:12" ht="15.5" thickTop="1" thickBot="1">
      <c r="A642" s="239"/>
      <c r="B642" s="204"/>
      <c r="C642" s="204"/>
      <c r="D642" s="240"/>
      <c r="E642" s="241"/>
      <c r="F642" s="242"/>
      <c r="G642" s="200"/>
      <c r="H642" s="200"/>
      <c r="I642" s="243"/>
      <c r="J642" s="205"/>
      <c r="K642" s="206"/>
      <c r="L642" s="392"/>
    </row>
    <row r="643" spans="1:12" ht="15.5" thickTop="1" thickBot="1">
      <c r="A643" s="239"/>
      <c r="B643" s="204"/>
      <c r="C643" s="204"/>
      <c r="D643" s="240"/>
      <c r="E643" s="241"/>
      <c r="F643" s="242"/>
      <c r="G643" s="200"/>
      <c r="H643" s="200"/>
      <c r="I643" s="243"/>
      <c r="J643" s="205"/>
      <c r="K643" s="206"/>
      <c r="L643" s="392"/>
    </row>
    <row r="644" spans="1:12" ht="15.5" thickTop="1" thickBot="1">
      <c r="A644" s="239"/>
      <c r="B644" s="204"/>
      <c r="C644" s="204"/>
      <c r="D644" s="240"/>
      <c r="E644" s="241"/>
      <c r="F644" s="242"/>
      <c r="G644" s="200"/>
      <c r="H644" s="200"/>
      <c r="I644" s="243"/>
      <c r="J644" s="205"/>
      <c r="K644" s="206"/>
      <c r="L644" s="392"/>
    </row>
    <row r="645" spans="1:12" ht="15.5" thickTop="1" thickBot="1">
      <c r="A645" s="239"/>
      <c r="B645" s="204"/>
      <c r="C645" s="204"/>
      <c r="D645" s="240"/>
      <c r="E645" s="241"/>
      <c r="F645" s="242"/>
      <c r="G645" s="200"/>
      <c r="H645" s="200"/>
      <c r="I645" s="243"/>
      <c r="J645" s="205"/>
      <c r="K645" s="206"/>
      <c r="L645" s="392"/>
    </row>
    <row r="646" spans="1:12" ht="15.5" thickTop="1" thickBot="1">
      <c r="A646" s="239"/>
      <c r="B646" s="204"/>
      <c r="C646" s="204"/>
      <c r="D646" s="240"/>
      <c r="E646" s="241"/>
      <c r="F646" s="242"/>
      <c r="G646" s="200"/>
      <c r="H646" s="200"/>
      <c r="I646" s="243"/>
      <c r="J646" s="205"/>
      <c r="K646" s="206"/>
      <c r="L646" s="392"/>
    </row>
    <row r="647" spans="1:12" ht="15.5" thickTop="1" thickBot="1">
      <c r="A647" s="239"/>
      <c r="B647" s="204"/>
      <c r="C647" s="204"/>
      <c r="D647" s="240"/>
      <c r="E647" s="241"/>
      <c r="F647" s="242"/>
      <c r="G647" s="200"/>
      <c r="H647" s="200"/>
      <c r="I647" s="243"/>
      <c r="J647" s="205"/>
      <c r="K647" s="206"/>
      <c r="L647" s="392"/>
    </row>
    <row r="648" spans="1:12" ht="15.5" thickTop="1" thickBot="1">
      <c r="A648" s="239"/>
      <c r="B648" s="204"/>
      <c r="C648" s="204"/>
      <c r="D648" s="240"/>
      <c r="E648" s="241"/>
      <c r="F648" s="242"/>
      <c r="G648" s="200"/>
      <c r="H648" s="200"/>
      <c r="I648" s="243"/>
      <c r="J648" s="205"/>
      <c r="K648" s="206"/>
      <c r="L648" s="392"/>
    </row>
    <row r="649" spans="1:12" ht="15.5" thickTop="1" thickBot="1">
      <c r="A649" s="239"/>
      <c r="B649" s="204"/>
      <c r="C649" s="204"/>
      <c r="D649" s="240"/>
      <c r="E649" s="241"/>
      <c r="F649" s="242"/>
      <c r="G649" s="200"/>
      <c r="H649" s="200"/>
      <c r="I649" s="243"/>
      <c r="J649" s="205"/>
      <c r="K649" s="206"/>
      <c r="L649" s="392"/>
    </row>
    <row r="650" spans="1:12" ht="15.5" thickTop="1" thickBot="1">
      <c r="A650" s="239"/>
      <c r="B650" s="204"/>
      <c r="C650" s="204"/>
      <c r="D650" s="240"/>
      <c r="E650" s="241"/>
      <c r="F650" s="242"/>
      <c r="G650" s="200"/>
      <c r="H650" s="200"/>
      <c r="I650" s="243"/>
      <c r="J650" s="205"/>
      <c r="K650" s="206"/>
      <c r="L650" s="392"/>
    </row>
    <row r="651" spans="1:12" ht="15.5" thickTop="1" thickBot="1">
      <c r="A651" s="239"/>
      <c r="B651" s="204"/>
      <c r="C651" s="204"/>
      <c r="D651" s="240"/>
      <c r="E651" s="241"/>
      <c r="F651" s="242"/>
      <c r="G651" s="200"/>
      <c r="H651" s="200"/>
      <c r="I651" s="243"/>
      <c r="J651" s="205"/>
      <c r="K651" s="206"/>
      <c r="L651" s="392"/>
    </row>
    <row r="652" spans="1:12" ht="15.5" thickTop="1" thickBot="1">
      <c r="A652" s="239"/>
      <c r="B652" s="204"/>
      <c r="C652" s="204"/>
      <c r="D652" s="240"/>
      <c r="E652" s="241"/>
      <c r="F652" s="242"/>
      <c r="G652" s="200"/>
      <c r="H652" s="200"/>
      <c r="I652" s="243"/>
      <c r="J652" s="205"/>
      <c r="K652" s="206"/>
      <c r="L652" s="392"/>
    </row>
    <row r="653" spans="1:12" ht="15.5" thickTop="1" thickBot="1">
      <c r="A653" s="239"/>
      <c r="B653" s="204"/>
      <c r="C653" s="204"/>
      <c r="D653" s="240"/>
      <c r="E653" s="241"/>
      <c r="F653" s="242"/>
      <c r="G653" s="200"/>
      <c r="H653" s="200"/>
      <c r="I653" s="243"/>
      <c r="J653" s="205"/>
      <c r="K653" s="206"/>
      <c r="L653" s="392"/>
    </row>
    <row r="654" spans="1:12" ht="15.5" thickTop="1" thickBot="1">
      <c r="A654" s="239"/>
      <c r="B654" s="204"/>
      <c r="C654" s="204"/>
      <c r="D654" s="240"/>
      <c r="E654" s="241"/>
      <c r="F654" s="242"/>
      <c r="G654" s="200"/>
      <c r="H654" s="200"/>
      <c r="I654" s="243"/>
      <c r="J654" s="205"/>
      <c r="K654" s="206"/>
      <c r="L654" s="392"/>
    </row>
    <row r="655" spans="1:12" ht="15.5" thickTop="1" thickBot="1">
      <c r="A655" s="239"/>
      <c r="B655" s="204"/>
      <c r="C655" s="204"/>
      <c r="D655" s="240"/>
      <c r="E655" s="241"/>
      <c r="F655" s="242"/>
      <c r="G655" s="200"/>
      <c r="H655" s="200"/>
      <c r="I655" s="243"/>
      <c r="J655" s="205"/>
      <c r="K655" s="206"/>
      <c r="L655" s="392"/>
    </row>
    <row r="656" spans="1:12" ht="15.5" thickTop="1" thickBot="1">
      <c r="A656" s="239"/>
      <c r="B656" s="204"/>
      <c r="C656" s="204"/>
      <c r="D656" s="240"/>
      <c r="E656" s="241"/>
      <c r="F656" s="242"/>
      <c r="G656" s="200"/>
      <c r="H656" s="200"/>
      <c r="I656" s="243"/>
      <c r="J656" s="205"/>
      <c r="K656" s="206"/>
      <c r="L656" s="392"/>
    </row>
    <row r="657" spans="1:12" ht="15.5" thickTop="1" thickBot="1">
      <c r="A657" s="239"/>
      <c r="B657" s="204"/>
      <c r="C657" s="204"/>
      <c r="D657" s="240"/>
      <c r="E657" s="241"/>
      <c r="F657" s="242"/>
      <c r="G657" s="200"/>
      <c r="H657" s="200"/>
      <c r="I657" s="243"/>
      <c r="J657" s="205"/>
      <c r="K657" s="206"/>
      <c r="L657" s="392"/>
    </row>
    <row r="658" spans="1:12" ht="15.5" thickTop="1" thickBot="1">
      <c r="A658" s="239"/>
      <c r="B658" s="204"/>
      <c r="C658" s="204"/>
      <c r="D658" s="240"/>
      <c r="E658" s="241"/>
      <c r="F658" s="242"/>
      <c r="G658" s="200"/>
      <c r="H658" s="200"/>
      <c r="I658" s="243"/>
      <c r="J658" s="205"/>
      <c r="K658" s="206"/>
      <c r="L658" s="392"/>
    </row>
    <row r="659" spans="1:12" ht="15.5" thickTop="1" thickBot="1">
      <c r="A659" s="239"/>
      <c r="B659" s="204"/>
      <c r="C659" s="204"/>
      <c r="D659" s="240"/>
      <c r="E659" s="241"/>
      <c r="F659" s="242"/>
      <c r="G659" s="200"/>
      <c r="H659" s="200"/>
      <c r="I659" s="243"/>
      <c r="J659" s="205"/>
      <c r="K659" s="206"/>
      <c r="L659" s="392"/>
    </row>
    <row r="660" spans="1:12" ht="15.5" thickTop="1" thickBot="1">
      <c r="A660" s="239"/>
      <c r="B660" s="204"/>
      <c r="C660" s="204"/>
      <c r="D660" s="240"/>
      <c r="E660" s="241"/>
      <c r="F660" s="242"/>
      <c r="G660" s="200"/>
      <c r="H660" s="200"/>
      <c r="I660" s="243"/>
      <c r="J660" s="205"/>
      <c r="K660" s="206"/>
      <c r="L660" s="392"/>
    </row>
    <row r="661" spans="1:12" ht="15.5" thickTop="1" thickBot="1">
      <c r="A661" s="239"/>
      <c r="B661" s="204"/>
      <c r="C661" s="204"/>
      <c r="D661" s="240"/>
      <c r="E661" s="241"/>
      <c r="F661" s="242"/>
      <c r="G661" s="200"/>
      <c r="H661" s="200"/>
      <c r="I661" s="243"/>
      <c r="J661" s="205"/>
      <c r="K661" s="206"/>
      <c r="L661" s="392"/>
    </row>
    <row r="662" spans="1:12" ht="15.5" thickTop="1" thickBot="1">
      <c r="A662" s="239"/>
      <c r="B662" s="204"/>
      <c r="C662" s="204"/>
      <c r="D662" s="240"/>
      <c r="E662" s="241"/>
      <c r="F662" s="242"/>
      <c r="G662" s="200"/>
      <c r="H662" s="200"/>
      <c r="I662" s="243"/>
      <c r="J662" s="205"/>
      <c r="K662" s="206"/>
      <c r="L662" s="392"/>
    </row>
    <row r="663" spans="1:12" ht="15.5" thickTop="1" thickBot="1">
      <c r="A663" s="239"/>
      <c r="B663" s="204"/>
      <c r="C663" s="204"/>
      <c r="D663" s="240"/>
      <c r="E663" s="241"/>
      <c r="F663" s="242"/>
      <c r="G663" s="200"/>
      <c r="H663" s="200"/>
      <c r="I663" s="243"/>
      <c r="J663" s="205"/>
      <c r="K663" s="206"/>
      <c r="L663" s="392"/>
    </row>
    <row r="664" spans="1:12" ht="15.5" thickTop="1" thickBot="1">
      <c r="A664" s="239"/>
      <c r="B664" s="204"/>
      <c r="C664" s="204"/>
      <c r="D664" s="240"/>
      <c r="E664" s="241"/>
      <c r="F664" s="242"/>
      <c r="G664" s="200"/>
      <c r="H664" s="200"/>
      <c r="I664" s="243"/>
      <c r="J664" s="205"/>
      <c r="K664" s="206"/>
      <c r="L664" s="392"/>
    </row>
    <row r="665" spans="1:12" ht="15.5" thickTop="1" thickBot="1">
      <c r="A665" s="239"/>
      <c r="B665" s="204"/>
      <c r="C665" s="204"/>
      <c r="D665" s="240"/>
      <c r="E665" s="241"/>
      <c r="F665" s="242"/>
      <c r="G665" s="200"/>
      <c r="H665" s="200"/>
      <c r="I665" s="243"/>
      <c r="J665" s="205"/>
      <c r="K665" s="206"/>
      <c r="L665" s="392"/>
    </row>
    <row r="666" spans="1:12" ht="15.5" thickTop="1" thickBot="1">
      <c r="A666" s="239"/>
      <c r="B666" s="204"/>
      <c r="C666" s="204"/>
      <c r="D666" s="240"/>
      <c r="E666" s="241"/>
      <c r="F666" s="242"/>
      <c r="G666" s="200"/>
      <c r="H666" s="200"/>
      <c r="I666" s="243"/>
      <c r="J666" s="205"/>
      <c r="K666" s="206"/>
      <c r="L666" s="392"/>
    </row>
    <row r="667" spans="1:12" ht="15.5" thickTop="1" thickBot="1">
      <c r="A667" s="239"/>
      <c r="B667" s="204"/>
      <c r="C667" s="204"/>
      <c r="D667" s="240"/>
      <c r="E667" s="241"/>
      <c r="F667" s="242"/>
      <c r="G667" s="200"/>
      <c r="H667" s="200"/>
      <c r="I667" s="243"/>
      <c r="J667" s="205"/>
      <c r="K667" s="206"/>
      <c r="L667" s="392"/>
    </row>
    <row r="668" spans="1:12" ht="15.5" thickTop="1" thickBot="1">
      <c r="A668" s="239"/>
      <c r="B668" s="204"/>
      <c r="C668" s="204"/>
      <c r="D668" s="240"/>
      <c r="E668" s="241"/>
      <c r="F668" s="242"/>
      <c r="G668" s="200"/>
      <c r="H668" s="200"/>
      <c r="I668" s="243"/>
      <c r="J668" s="205"/>
      <c r="K668" s="206"/>
      <c r="L668" s="392"/>
    </row>
    <row r="669" spans="1:12" ht="15.5" thickTop="1" thickBot="1">
      <c r="A669" s="239"/>
      <c r="B669" s="204"/>
      <c r="C669" s="204"/>
      <c r="D669" s="240"/>
      <c r="E669" s="241"/>
      <c r="F669" s="242"/>
      <c r="G669" s="200"/>
      <c r="H669" s="200"/>
      <c r="I669" s="243"/>
      <c r="J669" s="205"/>
      <c r="K669" s="206"/>
      <c r="L669" s="392"/>
    </row>
    <row r="670" spans="1:12" ht="15.5" thickTop="1" thickBot="1">
      <c r="A670" s="239"/>
      <c r="B670" s="204"/>
      <c r="C670" s="204"/>
      <c r="D670" s="240"/>
      <c r="E670" s="241"/>
      <c r="F670" s="242"/>
      <c r="G670" s="200"/>
      <c r="H670" s="200"/>
      <c r="I670" s="243"/>
      <c r="J670" s="205"/>
      <c r="K670" s="206"/>
      <c r="L670" s="392"/>
    </row>
    <row r="671" spans="1:12" ht="15.5" thickTop="1" thickBot="1">
      <c r="A671" s="239"/>
      <c r="B671" s="204"/>
      <c r="C671" s="204"/>
      <c r="D671" s="240"/>
      <c r="E671" s="241"/>
      <c r="F671" s="242"/>
      <c r="G671" s="200"/>
      <c r="H671" s="200"/>
      <c r="I671" s="243"/>
      <c r="J671" s="205"/>
      <c r="K671" s="206"/>
      <c r="L671" s="392"/>
    </row>
    <row r="672" spans="1:12" ht="15.5" thickTop="1" thickBot="1">
      <c r="A672" s="239"/>
      <c r="B672" s="204"/>
      <c r="C672" s="204"/>
      <c r="D672" s="240"/>
      <c r="E672" s="241"/>
      <c r="F672" s="242"/>
      <c r="G672" s="200"/>
      <c r="H672" s="200"/>
      <c r="I672" s="243"/>
      <c r="J672" s="205"/>
      <c r="K672" s="206"/>
      <c r="L672" s="392"/>
    </row>
    <row r="673" spans="1:12" ht="15.5" thickTop="1" thickBot="1">
      <c r="A673" s="239"/>
      <c r="B673" s="204"/>
      <c r="C673" s="204"/>
      <c r="D673" s="240"/>
      <c r="E673" s="241"/>
      <c r="F673" s="242"/>
      <c r="G673" s="200"/>
      <c r="H673" s="200"/>
      <c r="I673" s="243"/>
      <c r="J673" s="205"/>
      <c r="K673" s="206"/>
      <c r="L673" s="392"/>
    </row>
    <row r="674" spans="1:12" ht="15.5" thickTop="1" thickBot="1">
      <c r="A674" s="239"/>
      <c r="B674" s="204"/>
      <c r="C674" s="204"/>
      <c r="D674" s="240"/>
      <c r="E674" s="241"/>
      <c r="F674" s="242"/>
      <c r="G674" s="200"/>
      <c r="H674" s="200"/>
      <c r="I674" s="243"/>
      <c r="J674" s="205"/>
      <c r="K674" s="206"/>
      <c r="L674" s="392"/>
    </row>
    <row r="675" spans="1:12" ht="15.5" thickTop="1" thickBot="1">
      <c r="A675" s="239"/>
      <c r="B675" s="204"/>
      <c r="C675" s="204"/>
      <c r="D675" s="240"/>
      <c r="E675" s="241"/>
      <c r="F675" s="242"/>
      <c r="G675" s="200"/>
      <c r="H675" s="200"/>
      <c r="I675" s="243"/>
      <c r="J675" s="205"/>
      <c r="K675" s="206"/>
      <c r="L675" s="392"/>
    </row>
    <row r="676" spans="1:12" ht="15.5" thickTop="1" thickBot="1">
      <c r="A676" s="239"/>
      <c r="B676" s="204"/>
      <c r="C676" s="204"/>
      <c r="D676" s="240"/>
      <c r="E676" s="241"/>
      <c r="F676" s="242"/>
      <c r="G676" s="200"/>
      <c r="H676" s="200"/>
      <c r="I676" s="243"/>
      <c r="J676" s="205"/>
      <c r="K676" s="206"/>
      <c r="L676" s="392"/>
    </row>
    <row r="677" spans="1:12" ht="15.5" thickTop="1" thickBot="1">
      <c r="A677" s="239"/>
      <c r="B677" s="204"/>
      <c r="C677" s="204"/>
      <c r="D677" s="240"/>
      <c r="E677" s="241"/>
      <c r="F677" s="242"/>
      <c r="G677" s="200"/>
      <c r="H677" s="200"/>
      <c r="I677" s="243"/>
      <c r="J677" s="205"/>
      <c r="K677" s="206"/>
      <c r="L677" s="392"/>
    </row>
    <row r="678" spans="1:12" ht="15.5" thickTop="1" thickBot="1">
      <c r="A678" s="239"/>
      <c r="B678" s="204"/>
      <c r="C678" s="204"/>
      <c r="D678" s="240"/>
      <c r="E678" s="241"/>
      <c r="F678" s="242"/>
      <c r="G678" s="200"/>
      <c r="H678" s="200"/>
      <c r="I678" s="243"/>
      <c r="J678" s="205"/>
      <c r="K678" s="206"/>
      <c r="L678" s="392"/>
    </row>
    <row r="679" spans="1:12" ht="15.5" thickTop="1" thickBot="1">
      <c r="A679" s="239"/>
      <c r="B679" s="204"/>
      <c r="C679" s="204"/>
      <c r="D679" s="240"/>
      <c r="E679" s="241"/>
      <c r="F679" s="242"/>
      <c r="G679" s="200"/>
      <c r="H679" s="200"/>
      <c r="I679" s="243"/>
      <c r="J679" s="205"/>
      <c r="K679" s="206"/>
      <c r="L679" s="392"/>
    </row>
    <row r="680" spans="1:12" ht="15.5" thickTop="1" thickBot="1">
      <c r="A680" s="239"/>
      <c r="B680" s="204"/>
      <c r="C680" s="204"/>
      <c r="D680" s="240"/>
      <c r="E680" s="241"/>
      <c r="F680" s="242"/>
      <c r="G680" s="200"/>
      <c r="H680" s="200"/>
      <c r="I680" s="243"/>
      <c r="J680" s="205"/>
      <c r="K680" s="206"/>
      <c r="L680" s="392"/>
    </row>
    <row r="681" spans="1:12" ht="15.5" thickTop="1" thickBot="1">
      <c r="A681" s="239"/>
      <c r="B681" s="204"/>
      <c r="C681" s="204"/>
      <c r="D681" s="240"/>
      <c r="E681" s="241"/>
      <c r="F681" s="242"/>
      <c r="G681" s="200"/>
      <c r="H681" s="200"/>
      <c r="I681" s="243"/>
      <c r="J681" s="205"/>
      <c r="K681" s="206"/>
      <c r="L681" s="392"/>
    </row>
    <row r="682" spans="1:12" ht="15.5" thickTop="1" thickBot="1">
      <c r="A682" s="239"/>
      <c r="B682" s="204"/>
      <c r="C682" s="204"/>
      <c r="D682" s="240"/>
      <c r="E682" s="241"/>
      <c r="F682" s="242"/>
      <c r="G682" s="200"/>
      <c r="H682" s="200"/>
      <c r="I682" s="243"/>
      <c r="J682" s="205"/>
      <c r="K682" s="206"/>
      <c r="L682" s="392"/>
    </row>
    <row r="683" spans="1:12" ht="15.5" thickTop="1" thickBot="1">
      <c r="A683" s="239"/>
      <c r="B683" s="204"/>
      <c r="C683" s="204"/>
      <c r="D683" s="240"/>
      <c r="E683" s="241"/>
      <c r="F683" s="242"/>
      <c r="G683" s="200"/>
      <c r="H683" s="200"/>
      <c r="I683" s="243"/>
      <c r="J683" s="205"/>
      <c r="K683" s="206"/>
      <c r="L683" s="392"/>
    </row>
    <row r="684" spans="1:12" ht="15.5" thickTop="1" thickBot="1">
      <c r="A684" s="239"/>
      <c r="B684" s="204"/>
      <c r="C684" s="204"/>
      <c r="D684" s="240"/>
      <c r="E684" s="241"/>
      <c r="F684" s="242"/>
      <c r="G684" s="200"/>
      <c r="H684" s="200"/>
      <c r="I684" s="243"/>
      <c r="J684" s="205"/>
      <c r="K684" s="206"/>
      <c r="L684" s="392"/>
    </row>
    <row r="685" spans="1:12" ht="15.5" thickTop="1" thickBot="1">
      <c r="A685" s="239"/>
      <c r="B685" s="204"/>
      <c r="C685" s="204"/>
      <c r="D685" s="240"/>
      <c r="E685" s="241"/>
      <c r="F685" s="242"/>
      <c r="G685" s="200"/>
      <c r="H685" s="200"/>
      <c r="I685" s="243"/>
      <c r="J685" s="205"/>
      <c r="K685" s="206"/>
      <c r="L685" s="392"/>
    </row>
    <row r="686" spans="1:12" ht="15.5" thickTop="1" thickBot="1">
      <c r="A686" s="239"/>
      <c r="B686" s="204"/>
      <c r="C686" s="204"/>
      <c r="D686" s="240"/>
      <c r="E686" s="241"/>
      <c r="F686" s="242"/>
      <c r="G686" s="200"/>
      <c r="H686" s="200"/>
      <c r="I686" s="243"/>
      <c r="J686" s="205"/>
      <c r="K686" s="206"/>
      <c r="L686" s="392"/>
    </row>
    <row r="687" spans="1:12" ht="15.5" thickTop="1" thickBot="1">
      <c r="A687" s="239"/>
      <c r="B687" s="204"/>
      <c r="C687" s="204"/>
      <c r="D687" s="240"/>
      <c r="E687" s="241"/>
      <c r="F687" s="242"/>
      <c r="G687" s="200"/>
      <c r="H687" s="200"/>
      <c r="I687" s="243"/>
      <c r="J687" s="205"/>
      <c r="K687" s="206"/>
      <c r="L687" s="392"/>
    </row>
    <row r="688" spans="1:12" ht="15.5" thickTop="1" thickBot="1">
      <c r="A688" s="239"/>
      <c r="B688" s="204"/>
      <c r="C688" s="204"/>
      <c r="D688" s="240"/>
      <c r="E688" s="241"/>
      <c r="F688" s="242"/>
      <c r="G688" s="200"/>
      <c r="H688" s="200"/>
      <c r="I688" s="243"/>
      <c r="J688" s="205"/>
      <c r="K688" s="206"/>
      <c r="L688" s="392"/>
    </row>
    <row r="689" spans="1:12" ht="15.5" thickTop="1" thickBot="1">
      <c r="A689" s="239"/>
      <c r="B689" s="204"/>
      <c r="C689" s="204"/>
      <c r="D689" s="240"/>
      <c r="E689" s="241"/>
      <c r="F689" s="242"/>
      <c r="G689" s="200"/>
      <c r="H689" s="200"/>
      <c r="I689" s="243"/>
      <c r="J689" s="205"/>
      <c r="K689" s="206"/>
      <c r="L689" s="392"/>
    </row>
    <row r="690" spans="1:12" ht="15.5" thickTop="1" thickBot="1">
      <c r="A690" s="239"/>
      <c r="B690" s="204"/>
      <c r="C690" s="204"/>
      <c r="D690" s="240"/>
      <c r="E690" s="241"/>
      <c r="F690" s="242"/>
      <c r="G690" s="200"/>
      <c r="H690" s="200"/>
      <c r="I690" s="243"/>
      <c r="J690" s="205"/>
      <c r="K690" s="206"/>
      <c r="L690" s="392"/>
    </row>
    <row r="691" spans="1:12" ht="15.5" thickTop="1" thickBot="1">
      <c r="A691" s="239"/>
      <c r="B691" s="204"/>
      <c r="C691" s="204"/>
      <c r="D691" s="240"/>
      <c r="E691" s="241"/>
      <c r="F691" s="242"/>
      <c r="G691" s="200"/>
      <c r="H691" s="200"/>
      <c r="I691" s="243"/>
      <c r="J691" s="205"/>
      <c r="K691" s="206"/>
      <c r="L691" s="392"/>
    </row>
    <row r="692" spans="1:12" ht="15.5" thickTop="1" thickBot="1">
      <c r="A692" s="239"/>
      <c r="B692" s="204"/>
      <c r="C692" s="204"/>
      <c r="D692" s="240"/>
      <c r="E692" s="241"/>
      <c r="F692" s="242"/>
      <c r="G692" s="200"/>
      <c r="H692" s="200"/>
      <c r="I692" s="243"/>
      <c r="J692" s="205"/>
      <c r="K692" s="206"/>
      <c r="L692" s="392"/>
    </row>
    <row r="693" spans="1:12" ht="15.5" thickTop="1" thickBot="1">
      <c r="A693" s="239"/>
      <c r="B693" s="204"/>
      <c r="C693" s="204"/>
      <c r="D693" s="240"/>
      <c r="E693" s="241"/>
      <c r="F693" s="242"/>
      <c r="G693" s="200"/>
      <c r="H693" s="200"/>
      <c r="I693" s="243"/>
      <c r="J693" s="205"/>
      <c r="K693" s="206"/>
      <c r="L693" s="392"/>
    </row>
    <row r="694" spans="1:12" ht="15.5" thickTop="1" thickBot="1">
      <c r="A694" s="239"/>
      <c r="B694" s="204"/>
      <c r="C694" s="204"/>
      <c r="D694" s="240"/>
      <c r="E694" s="241"/>
      <c r="F694" s="242"/>
      <c r="G694" s="200"/>
      <c r="H694" s="200"/>
      <c r="I694" s="243"/>
      <c r="J694" s="205"/>
      <c r="K694" s="206"/>
      <c r="L694" s="392"/>
    </row>
    <row r="695" spans="1:12" ht="15.5" thickTop="1" thickBot="1">
      <c r="A695" s="239"/>
      <c r="B695" s="204"/>
      <c r="C695" s="204"/>
      <c r="D695" s="240"/>
      <c r="E695" s="241"/>
      <c r="F695" s="242"/>
      <c r="G695" s="200"/>
      <c r="H695" s="200"/>
      <c r="I695" s="243"/>
      <c r="J695" s="205"/>
      <c r="K695" s="206"/>
      <c r="L695" s="392"/>
    </row>
    <row r="696" spans="1:12" ht="15.5" thickTop="1" thickBot="1">
      <c r="A696" s="239"/>
      <c r="B696" s="204"/>
      <c r="C696" s="204"/>
      <c r="D696" s="240"/>
      <c r="E696" s="241"/>
      <c r="F696" s="242"/>
      <c r="G696" s="200"/>
      <c r="H696" s="200"/>
      <c r="I696" s="243"/>
      <c r="J696" s="205"/>
      <c r="K696" s="206"/>
      <c r="L696" s="392"/>
    </row>
    <row r="697" spans="1:12" ht="15.5" thickTop="1" thickBot="1">
      <c r="A697" s="239"/>
      <c r="B697" s="204"/>
      <c r="C697" s="204"/>
      <c r="D697" s="240"/>
      <c r="E697" s="241"/>
      <c r="F697" s="242"/>
      <c r="G697" s="200"/>
      <c r="H697" s="200"/>
      <c r="I697" s="243"/>
      <c r="J697" s="205"/>
      <c r="K697" s="206"/>
      <c r="L697" s="392"/>
    </row>
    <row r="698" spans="1:12" ht="15.5" thickTop="1" thickBot="1">
      <c r="A698" s="239"/>
      <c r="B698" s="204"/>
      <c r="C698" s="204"/>
      <c r="D698" s="240"/>
      <c r="E698" s="241"/>
      <c r="F698" s="242"/>
      <c r="G698" s="200"/>
      <c r="H698" s="200"/>
      <c r="I698" s="243"/>
      <c r="J698" s="205"/>
      <c r="K698" s="206"/>
      <c r="L698" s="392"/>
    </row>
    <row r="699" spans="1:12" ht="15.5" thickTop="1" thickBot="1">
      <c r="A699" s="239"/>
      <c r="B699" s="204"/>
      <c r="C699" s="204"/>
      <c r="D699" s="240"/>
      <c r="E699" s="241"/>
      <c r="F699" s="242"/>
      <c r="G699" s="200"/>
      <c r="H699" s="200"/>
      <c r="I699" s="243"/>
      <c r="J699" s="205"/>
      <c r="K699" s="206"/>
      <c r="L699" s="392"/>
    </row>
    <row r="700" spans="1:12" ht="15.5" thickTop="1" thickBot="1">
      <c r="A700" s="239"/>
      <c r="B700" s="204"/>
      <c r="C700" s="204"/>
      <c r="D700" s="240"/>
      <c r="E700" s="241"/>
      <c r="F700" s="242"/>
      <c r="G700" s="200"/>
      <c r="H700" s="200"/>
      <c r="I700" s="243"/>
      <c r="J700" s="205"/>
      <c r="K700" s="206"/>
      <c r="L700" s="392"/>
    </row>
    <row r="701" spans="1:12" ht="15.5" thickTop="1" thickBot="1">
      <c r="A701" s="239"/>
      <c r="B701" s="204"/>
      <c r="C701" s="204"/>
      <c r="D701" s="240"/>
      <c r="E701" s="241"/>
      <c r="F701" s="242"/>
      <c r="G701" s="200"/>
      <c r="H701" s="200"/>
      <c r="I701" s="243"/>
      <c r="J701" s="205"/>
      <c r="K701" s="206"/>
      <c r="L701" s="392"/>
    </row>
    <row r="702" spans="1:12" ht="15.5" thickTop="1" thickBot="1">
      <c r="A702" s="239"/>
      <c r="B702" s="204"/>
      <c r="C702" s="204"/>
      <c r="D702" s="240"/>
      <c r="E702" s="241"/>
      <c r="F702" s="242"/>
      <c r="G702" s="200"/>
      <c r="H702" s="200"/>
      <c r="I702" s="243"/>
      <c r="J702" s="205"/>
      <c r="K702" s="206"/>
      <c r="L702" s="392"/>
    </row>
    <row r="703" spans="1:12" ht="15.5" thickTop="1" thickBot="1">
      <c r="A703" s="239"/>
      <c r="B703" s="204"/>
      <c r="C703" s="204"/>
      <c r="D703" s="240"/>
      <c r="E703" s="241"/>
      <c r="F703" s="242"/>
      <c r="G703" s="200"/>
      <c r="H703" s="200"/>
      <c r="I703" s="243"/>
      <c r="J703" s="205"/>
      <c r="K703" s="206"/>
      <c r="L703" s="392"/>
    </row>
    <row r="704" spans="1:12" ht="15.5" thickTop="1" thickBot="1">
      <c r="A704" s="239"/>
      <c r="B704" s="204"/>
      <c r="C704" s="204"/>
      <c r="D704" s="240"/>
      <c r="E704" s="241"/>
      <c r="F704" s="242"/>
      <c r="G704" s="200"/>
      <c r="H704" s="200"/>
      <c r="I704" s="243"/>
      <c r="J704" s="205"/>
      <c r="K704" s="206"/>
      <c r="L704" s="392"/>
    </row>
    <row r="705" spans="1:12" ht="15.5" thickTop="1" thickBot="1">
      <c r="A705" s="239"/>
      <c r="B705" s="204"/>
      <c r="C705" s="204"/>
      <c r="D705" s="240"/>
      <c r="E705" s="241"/>
      <c r="F705" s="242"/>
      <c r="G705" s="200"/>
      <c r="H705" s="200"/>
      <c r="I705" s="243"/>
      <c r="J705" s="205"/>
      <c r="K705" s="206"/>
      <c r="L705" s="392"/>
    </row>
    <row r="706" spans="1:12" ht="15.5" thickTop="1" thickBot="1">
      <c r="A706" s="239"/>
      <c r="B706" s="204"/>
      <c r="C706" s="204"/>
      <c r="D706" s="240"/>
      <c r="E706" s="241"/>
      <c r="F706" s="242"/>
      <c r="G706" s="200"/>
      <c r="H706" s="200"/>
      <c r="I706" s="243"/>
      <c r="J706" s="205"/>
      <c r="K706" s="206"/>
      <c r="L706" s="392"/>
    </row>
    <row r="707" spans="1:12" ht="15.5" thickTop="1" thickBot="1">
      <c r="A707" s="239"/>
      <c r="B707" s="204"/>
      <c r="C707" s="204"/>
      <c r="D707" s="240"/>
      <c r="E707" s="241"/>
      <c r="F707" s="242"/>
      <c r="G707" s="200"/>
      <c r="H707" s="200"/>
      <c r="I707" s="243"/>
      <c r="J707" s="205"/>
      <c r="K707" s="206"/>
      <c r="L707" s="392"/>
    </row>
    <row r="708" spans="1:12" ht="15.5" thickTop="1" thickBot="1">
      <c r="A708" s="239"/>
      <c r="B708" s="204"/>
      <c r="C708" s="204"/>
      <c r="D708" s="240"/>
      <c r="E708" s="241"/>
      <c r="F708" s="242"/>
      <c r="G708" s="200"/>
      <c r="H708" s="200"/>
      <c r="I708" s="243"/>
      <c r="J708" s="205"/>
      <c r="K708" s="206"/>
      <c r="L708" s="392"/>
    </row>
    <row r="709" spans="1:12" ht="15.5" thickTop="1" thickBot="1">
      <c r="A709" s="239"/>
      <c r="B709" s="204"/>
      <c r="C709" s="204"/>
      <c r="D709" s="240"/>
      <c r="E709" s="241"/>
      <c r="F709" s="242"/>
      <c r="G709" s="200"/>
      <c r="H709" s="200"/>
      <c r="I709" s="243"/>
      <c r="J709" s="205"/>
      <c r="K709" s="206"/>
      <c r="L709" s="392"/>
    </row>
    <row r="710" spans="1:12" ht="15.5" thickTop="1" thickBot="1">
      <c r="A710" s="239"/>
      <c r="B710" s="204"/>
      <c r="C710" s="204"/>
      <c r="D710" s="240"/>
      <c r="E710" s="241"/>
      <c r="F710" s="242"/>
      <c r="G710" s="200"/>
      <c r="H710" s="200"/>
      <c r="I710" s="243"/>
      <c r="J710" s="205"/>
      <c r="K710" s="206"/>
      <c r="L710" s="392"/>
    </row>
    <row r="711" spans="1:12" ht="15.5" thickTop="1" thickBot="1">
      <c r="A711" s="239"/>
      <c r="B711" s="204"/>
      <c r="C711" s="204"/>
      <c r="D711" s="240"/>
      <c r="E711" s="241"/>
      <c r="F711" s="242"/>
      <c r="G711" s="200"/>
      <c r="H711" s="200"/>
      <c r="I711" s="243"/>
      <c r="J711" s="205"/>
      <c r="K711" s="206"/>
      <c r="L711" s="392"/>
    </row>
    <row r="712" spans="1:12" ht="15.5" thickTop="1" thickBot="1">
      <c r="A712" s="239"/>
      <c r="B712" s="204"/>
      <c r="C712" s="204"/>
      <c r="D712" s="240"/>
      <c r="E712" s="241"/>
      <c r="F712" s="242"/>
      <c r="G712" s="200"/>
      <c r="H712" s="200"/>
      <c r="I712" s="243"/>
      <c r="J712" s="205"/>
      <c r="K712" s="206"/>
      <c r="L712" s="392"/>
    </row>
    <row r="713" spans="1:12" ht="15.5" thickTop="1" thickBot="1">
      <c r="A713" s="239"/>
      <c r="B713" s="204"/>
      <c r="C713" s="204"/>
      <c r="D713" s="240"/>
      <c r="E713" s="241"/>
      <c r="F713" s="242"/>
      <c r="G713" s="200"/>
      <c r="H713" s="200"/>
      <c r="I713" s="243"/>
      <c r="J713" s="205"/>
      <c r="K713" s="206"/>
      <c r="L713" s="392"/>
    </row>
    <row r="714" spans="1:12" ht="15.5" thickTop="1" thickBot="1">
      <c r="A714" s="239"/>
      <c r="B714" s="204"/>
      <c r="C714" s="204"/>
      <c r="D714" s="240"/>
      <c r="E714" s="241"/>
      <c r="F714" s="242"/>
      <c r="G714" s="200"/>
      <c r="H714" s="200"/>
      <c r="I714" s="243"/>
      <c r="J714" s="205"/>
      <c r="K714" s="206"/>
      <c r="L714" s="392"/>
    </row>
    <row r="715" spans="1:12" ht="15.5" thickTop="1" thickBot="1">
      <c r="A715" s="239"/>
      <c r="B715" s="204"/>
      <c r="C715" s="204"/>
      <c r="D715" s="240"/>
      <c r="E715" s="241"/>
      <c r="F715" s="242"/>
      <c r="G715" s="200"/>
      <c r="H715" s="200"/>
      <c r="I715" s="243"/>
      <c r="J715" s="205"/>
      <c r="K715" s="206"/>
      <c r="L715" s="392"/>
    </row>
    <row r="716" spans="1:12" ht="15.5" thickTop="1" thickBot="1">
      <c r="A716" s="239"/>
      <c r="B716" s="204"/>
      <c r="C716" s="204"/>
      <c r="D716" s="240"/>
      <c r="E716" s="241"/>
      <c r="F716" s="242"/>
      <c r="G716" s="200"/>
      <c r="H716" s="200"/>
      <c r="I716" s="243"/>
      <c r="J716" s="205"/>
      <c r="K716" s="206"/>
      <c r="L716" s="392"/>
    </row>
    <row r="717" spans="1:12" ht="15.5" thickTop="1" thickBot="1">
      <c r="A717" s="239"/>
      <c r="B717" s="204"/>
      <c r="C717" s="204"/>
      <c r="D717" s="240"/>
      <c r="E717" s="241"/>
      <c r="F717" s="242"/>
      <c r="G717" s="200"/>
      <c r="H717" s="200"/>
      <c r="I717" s="243"/>
      <c r="J717" s="205"/>
      <c r="K717" s="206"/>
      <c r="L717" s="392"/>
    </row>
    <row r="718" spans="1:12" ht="15.5" thickTop="1" thickBot="1">
      <c r="A718" s="239"/>
      <c r="B718" s="204"/>
      <c r="C718" s="204"/>
      <c r="D718" s="240"/>
      <c r="E718" s="241"/>
      <c r="F718" s="242"/>
      <c r="G718" s="200"/>
      <c r="H718" s="200"/>
      <c r="I718" s="243"/>
      <c r="J718" s="205"/>
      <c r="K718" s="206"/>
      <c r="L718" s="392"/>
    </row>
    <row r="719" spans="1:12" ht="15.5" thickTop="1" thickBot="1">
      <c r="A719" s="239"/>
      <c r="B719" s="204"/>
      <c r="C719" s="204"/>
      <c r="D719" s="240"/>
      <c r="E719" s="241"/>
      <c r="F719" s="242"/>
      <c r="G719" s="200"/>
      <c r="H719" s="200"/>
      <c r="I719" s="243"/>
      <c r="J719" s="205"/>
      <c r="K719" s="206"/>
      <c r="L719" s="392"/>
    </row>
    <row r="720" spans="1:12" ht="15.5" thickTop="1" thickBot="1">
      <c r="A720" s="239"/>
      <c r="B720" s="204"/>
      <c r="C720" s="204"/>
      <c r="D720" s="240"/>
      <c r="E720" s="241"/>
      <c r="F720" s="242"/>
      <c r="G720" s="200"/>
      <c r="H720" s="200"/>
      <c r="I720" s="243"/>
      <c r="J720" s="205"/>
      <c r="K720" s="206"/>
      <c r="L720" s="392"/>
    </row>
    <row r="721" spans="1:12" ht="15.5" thickTop="1" thickBot="1">
      <c r="A721" s="239"/>
      <c r="B721" s="204"/>
      <c r="C721" s="204"/>
      <c r="D721" s="240"/>
      <c r="E721" s="241"/>
      <c r="F721" s="242"/>
      <c r="G721" s="200"/>
      <c r="H721" s="200"/>
      <c r="I721" s="243"/>
      <c r="J721" s="205"/>
      <c r="K721" s="206"/>
      <c r="L721" s="392"/>
    </row>
    <row r="722" spans="1:12" ht="15.5" thickTop="1" thickBot="1">
      <c r="A722" s="239"/>
      <c r="B722" s="204"/>
      <c r="C722" s="204"/>
      <c r="D722" s="240"/>
      <c r="E722" s="241"/>
      <c r="F722" s="242"/>
      <c r="G722" s="200"/>
      <c r="H722" s="200"/>
      <c r="I722" s="243"/>
      <c r="J722" s="205"/>
      <c r="K722" s="206"/>
      <c r="L722" s="392"/>
    </row>
    <row r="723" spans="1:12" ht="15.5" thickTop="1" thickBot="1">
      <c r="A723" s="239"/>
      <c r="B723" s="204"/>
      <c r="C723" s="204"/>
      <c r="D723" s="240"/>
      <c r="E723" s="241"/>
      <c r="F723" s="242"/>
      <c r="G723" s="200"/>
      <c r="H723" s="200"/>
      <c r="I723" s="243"/>
      <c r="J723" s="205"/>
      <c r="K723" s="206"/>
      <c r="L723" s="392"/>
    </row>
    <row r="724" spans="1:12" ht="15.5" thickTop="1" thickBot="1">
      <c r="A724" s="239"/>
      <c r="B724" s="204"/>
      <c r="C724" s="204"/>
      <c r="D724" s="240"/>
      <c r="E724" s="241"/>
      <c r="F724" s="242"/>
      <c r="G724" s="200"/>
      <c r="H724" s="200"/>
      <c r="I724" s="243"/>
      <c r="J724" s="205"/>
      <c r="K724" s="206"/>
      <c r="L724" s="392"/>
    </row>
    <row r="725" spans="1:12" ht="15.5" thickTop="1" thickBot="1">
      <c r="A725" s="239"/>
      <c r="B725" s="204"/>
      <c r="C725" s="204"/>
      <c r="D725" s="240"/>
      <c r="E725" s="241"/>
      <c r="F725" s="242"/>
      <c r="G725" s="200"/>
      <c r="H725" s="200"/>
      <c r="I725" s="243"/>
      <c r="J725" s="205"/>
      <c r="K725" s="206"/>
      <c r="L725" s="392"/>
    </row>
    <row r="726" spans="1:12" ht="15.5" thickTop="1" thickBot="1">
      <c r="A726" s="239"/>
      <c r="B726" s="204"/>
      <c r="C726" s="204"/>
      <c r="D726" s="240"/>
      <c r="E726" s="241"/>
      <c r="F726" s="242"/>
      <c r="G726" s="200"/>
      <c r="H726" s="200"/>
      <c r="I726" s="243"/>
      <c r="J726" s="205"/>
      <c r="K726" s="206"/>
      <c r="L726" s="392"/>
    </row>
    <row r="727" spans="1:12" ht="15.5" thickTop="1" thickBot="1">
      <c r="A727" s="239"/>
      <c r="B727" s="204"/>
      <c r="C727" s="204"/>
      <c r="D727" s="240"/>
      <c r="E727" s="241"/>
      <c r="F727" s="242"/>
      <c r="G727" s="200"/>
      <c r="H727" s="200"/>
      <c r="I727" s="243"/>
      <c r="J727" s="205"/>
      <c r="K727" s="206"/>
      <c r="L727" s="392"/>
    </row>
    <row r="728" spans="1:12" ht="15.5" thickTop="1" thickBot="1">
      <c r="A728" s="239"/>
      <c r="B728" s="204"/>
      <c r="C728" s="204"/>
      <c r="D728" s="240"/>
      <c r="E728" s="241"/>
      <c r="F728" s="242"/>
      <c r="G728" s="200"/>
      <c r="H728" s="200"/>
      <c r="I728" s="243"/>
      <c r="J728" s="205"/>
      <c r="K728" s="206"/>
      <c r="L728" s="392"/>
    </row>
    <row r="729" spans="1:12" ht="15.5" thickTop="1" thickBot="1">
      <c r="A729" s="239"/>
      <c r="B729" s="204"/>
      <c r="C729" s="204"/>
      <c r="D729" s="240"/>
      <c r="E729" s="241"/>
      <c r="F729" s="242"/>
      <c r="G729" s="200"/>
      <c r="H729" s="200"/>
      <c r="I729" s="243"/>
      <c r="J729" s="205"/>
      <c r="K729" s="206"/>
      <c r="L729" s="392"/>
    </row>
    <row r="730" spans="1:12" ht="15.5" thickTop="1" thickBot="1">
      <c r="A730" s="239"/>
      <c r="B730" s="204"/>
      <c r="C730" s="204"/>
      <c r="D730" s="240"/>
      <c r="E730" s="241"/>
      <c r="F730" s="242"/>
      <c r="G730" s="200"/>
      <c r="H730" s="200"/>
      <c r="I730" s="243"/>
      <c r="J730" s="205"/>
      <c r="K730" s="206"/>
      <c r="L730" s="392"/>
    </row>
    <row r="731" spans="1:12" ht="15.5" thickTop="1" thickBot="1">
      <c r="A731" s="239"/>
      <c r="B731" s="204"/>
      <c r="C731" s="204"/>
      <c r="D731" s="240"/>
      <c r="E731" s="241"/>
      <c r="F731" s="242"/>
      <c r="G731" s="200"/>
      <c r="H731" s="200"/>
      <c r="I731" s="243"/>
      <c r="J731" s="205"/>
      <c r="K731" s="206"/>
      <c r="L731" s="392"/>
    </row>
    <row r="732" spans="1:12" ht="15.5" thickTop="1" thickBot="1">
      <c r="A732" s="239"/>
      <c r="B732" s="204"/>
      <c r="C732" s="204"/>
      <c r="D732" s="240"/>
      <c r="E732" s="241"/>
      <c r="F732" s="242"/>
      <c r="G732" s="200"/>
      <c r="H732" s="200"/>
      <c r="I732" s="243"/>
      <c r="J732" s="205"/>
      <c r="K732" s="206"/>
      <c r="L732" s="392"/>
    </row>
    <row r="733" spans="1:12" ht="15.5" thickTop="1" thickBot="1">
      <c r="A733" s="239"/>
      <c r="B733" s="204"/>
      <c r="C733" s="204"/>
      <c r="D733" s="240"/>
      <c r="E733" s="241"/>
      <c r="F733" s="242"/>
      <c r="G733" s="200"/>
      <c r="H733" s="200"/>
      <c r="I733" s="243"/>
      <c r="J733" s="205"/>
      <c r="K733" s="206"/>
      <c r="L733" s="392"/>
    </row>
    <row r="734" spans="1:12" ht="15.5" thickTop="1" thickBot="1">
      <c r="A734" s="239"/>
      <c r="B734" s="204"/>
      <c r="C734" s="204"/>
      <c r="D734" s="240"/>
      <c r="E734" s="241"/>
      <c r="F734" s="242"/>
      <c r="G734" s="200"/>
      <c r="H734" s="200"/>
      <c r="I734" s="243"/>
      <c r="J734" s="205"/>
      <c r="K734" s="206"/>
      <c r="L734" s="392"/>
    </row>
    <row r="735" spans="1:12" ht="15.5" thickTop="1" thickBot="1">
      <c r="A735" s="239"/>
      <c r="B735" s="204"/>
      <c r="C735" s="204"/>
      <c r="D735" s="240"/>
      <c r="E735" s="241"/>
      <c r="F735" s="242"/>
      <c r="G735" s="200"/>
      <c r="H735" s="200"/>
      <c r="I735" s="243"/>
      <c r="J735" s="205"/>
      <c r="K735" s="206"/>
      <c r="L735" s="392"/>
    </row>
    <row r="736" spans="1:12" ht="15.5" thickTop="1" thickBot="1">
      <c r="A736" s="239"/>
      <c r="B736" s="204"/>
      <c r="C736" s="204"/>
      <c r="D736" s="240"/>
      <c r="E736" s="241"/>
      <c r="F736" s="242"/>
      <c r="G736" s="200"/>
      <c r="H736" s="200"/>
      <c r="I736" s="243"/>
      <c r="J736" s="205"/>
      <c r="K736" s="206"/>
      <c r="L736" s="392"/>
    </row>
    <row r="737" spans="1:12" ht="15.5" thickTop="1" thickBot="1">
      <c r="A737" s="239"/>
      <c r="B737" s="204"/>
      <c r="C737" s="204"/>
      <c r="D737" s="240"/>
      <c r="E737" s="241"/>
      <c r="F737" s="242"/>
      <c r="G737" s="200"/>
      <c r="H737" s="200"/>
      <c r="I737" s="243"/>
      <c r="J737" s="205"/>
      <c r="K737" s="206"/>
      <c r="L737" s="392"/>
    </row>
    <row r="738" spans="1:12" ht="15.5" thickTop="1" thickBot="1">
      <c r="A738" s="239"/>
      <c r="B738" s="204"/>
      <c r="C738" s="204"/>
      <c r="D738" s="240"/>
      <c r="E738" s="241"/>
      <c r="F738" s="242"/>
      <c r="G738" s="200"/>
      <c r="H738" s="200"/>
      <c r="I738" s="243"/>
      <c r="J738" s="205"/>
      <c r="K738" s="206"/>
      <c r="L738" s="392"/>
    </row>
    <row r="739" spans="1:12" ht="15.5" thickTop="1" thickBot="1">
      <c r="A739" s="239"/>
      <c r="B739" s="204"/>
      <c r="C739" s="204"/>
      <c r="D739" s="240"/>
      <c r="E739" s="241"/>
      <c r="F739" s="242"/>
      <c r="G739" s="200"/>
      <c r="H739" s="200"/>
      <c r="I739" s="243"/>
      <c r="J739" s="205"/>
      <c r="K739" s="206"/>
      <c r="L739" s="392"/>
    </row>
    <row r="740" spans="1:12" ht="15.5" thickTop="1" thickBot="1">
      <c r="A740" s="239"/>
      <c r="B740" s="204"/>
      <c r="C740" s="204"/>
      <c r="D740" s="240"/>
      <c r="E740" s="241"/>
      <c r="F740" s="242"/>
      <c r="G740" s="200"/>
      <c r="H740" s="200"/>
      <c r="I740" s="243"/>
      <c r="J740" s="205"/>
      <c r="K740" s="206"/>
      <c r="L740" s="392"/>
    </row>
    <row r="741" spans="1:12" ht="15.5" thickTop="1" thickBot="1">
      <c r="A741" s="239"/>
      <c r="B741" s="204"/>
      <c r="C741" s="204"/>
      <c r="D741" s="240"/>
      <c r="E741" s="241"/>
      <c r="F741" s="242"/>
      <c r="G741" s="200"/>
      <c r="H741" s="200"/>
      <c r="I741" s="243"/>
      <c r="J741" s="205"/>
      <c r="K741" s="206"/>
      <c r="L741" s="392"/>
    </row>
    <row r="742" spans="1:12" ht="15.5" thickTop="1" thickBot="1">
      <c r="A742" s="239"/>
      <c r="B742" s="204"/>
      <c r="C742" s="204"/>
      <c r="D742" s="240"/>
      <c r="E742" s="241"/>
      <c r="F742" s="242"/>
      <c r="G742" s="200"/>
      <c r="H742" s="200"/>
      <c r="I742" s="243"/>
      <c r="J742" s="205"/>
      <c r="K742" s="206"/>
      <c r="L742" s="392"/>
    </row>
    <row r="743" spans="1:12" ht="15.5" thickTop="1" thickBot="1">
      <c r="A743" s="239"/>
      <c r="B743" s="204"/>
      <c r="C743" s="204"/>
      <c r="D743" s="240"/>
      <c r="E743" s="241"/>
      <c r="F743" s="242"/>
      <c r="G743" s="200"/>
      <c r="H743" s="200"/>
      <c r="I743" s="243"/>
      <c r="J743" s="205"/>
      <c r="K743" s="206"/>
      <c r="L743" s="392"/>
    </row>
    <row r="744" spans="1:12" ht="15.5" thickTop="1" thickBot="1">
      <c r="A744" s="239"/>
      <c r="B744" s="204"/>
      <c r="C744" s="204"/>
      <c r="D744" s="240"/>
      <c r="E744" s="241"/>
      <c r="F744" s="242"/>
      <c r="G744" s="200"/>
      <c r="H744" s="200"/>
      <c r="I744" s="243"/>
      <c r="J744" s="205"/>
      <c r="K744" s="206"/>
      <c r="L744" s="392"/>
    </row>
    <row r="745" spans="1:12" ht="15.5" thickTop="1" thickBot="1">
      <c r="A745" s="239"/>
      <c r="B745" s="204"/>
      <c r="C745" s="204"/>
      <c r="D745" s="240"/>
      <c r="E745" s="241"/>
      <c r="F745" s="242"/>
      <c r="G745" s="200"/>
      <c r="H745" s="200"/>
      <c r="I745" s="243"/>
      <c r="J745" s="205"/>
      <c r="K745" s="206"/>
      <c r="L745" s="392"/>
    </row>
    <row r="746" spans="1:12" ht="15.5" thickTop="1" thickBot="1">
      <c r="A746" s="239"/>
      <c r="B746" s="204"/>
      <c r="C746" s="204"/>
      <c r="D746" s="240"/>
      <c r="E746" s="241"/>
      <c r="F746" s="242"/>
      <c r="G746" s="200"/>
      <c r="H746" s="200"/>
      <c r="I746" s="243"/>
      <c r="J746" s="205"/>
      <c r="K746" s="206"/>
      <c r="L746" s="392"/>
    </row>
    <row r="747" spans="1:12" ht="15.5" thickTop="1" thickBot="1">
      <c r="A747" s="239"/>
      <c r="B747" s="204"/>
      <c r="C747" s="204"/>
      <c r="D747" s="240"/>
      <c r="E747" s="241"/>
      <c r="F747" s="242"/>
      <c r="G747" s="200"/>
      <c r="H747" s="200"/>
      <c r="I747" s="243"/>
      <c r="J747" s="205"/>
      <c r="K747" s="206"/>
      <c r="L747" s="392"/>
    </row>
    <row r="748" spans="1:12" ht="15.5" thickTop="1" thickBot="1">
      <c r="A748" s="239"/>
      <c r="B748" s="204"/>
      <c r="C748" s="204"/>
      <c r="D748" s="240"/>
      <c r="E748" s="241"/>
      <c r="F748" s="242"/>
      <c r="G748" s="200"/>
      <c r="H748" s="200"/>
      <c r="I748" s="243"/>
      <c r="J748" s="205"/>
      <c r="K748" s="206"/>
      <c r="L748" s="392"/>
    </row>
    <row r="749" spans="1:12" ht="15.5" thickTop="1" thickBot="1">
      <c r="A749" s="239"/>
      <c r="B749" s="204"/>
      <c r="C749" s="204"/>
      <c r="D749" s="240"/>
      <c r="E749" s="241"/>
      <c r="F749" s="242"/>
      <c r="G749" s="200"/>
      <c r="H749" s="200"/>
      <c r="I749" s="243"/>
      <c r="J749" s="205"/>
      <c r="K749" s="206"/>
      <c r="L749" s="392"/>
    </row>
    <row r="750" spans="1:12" ht="15.5" thickTop="1" thickBot="1">
      <c r="A750" s="239"/>
      <c r="B750" s="204"/>
      <c r="C750" s="204"/>
      <c r="D750" s="240"/>
      <c r="E750" s="241"/>
      <c r="F750" s="242"/>
      <c r="G750" s="200"/>
      <c r="H750" s="200"/>
      <c r="I750" s="243"/>
      <c r="J750" s="205"/>
      <c r="K750" s="206"/>
      <c r="L750" s="392"/>
    </row>
    <row r="751" spans="1:12" ht="15.5" thickTop="1" thickBot="1">
      <c r="A751" s="239"/>
      <c r="B751" s="204"/>
      <c r="C751" s="204"/>
      <c r="D751" s="240"/>
      <c r="E751" s="241"/>
      <c r="F751" s="242"/>
      <c r="G751" s="200"/>
      <c r="H751" s="200"/>
      <c r="I751" s="243"/>
      <c r="J751" s="205"/>
      <c r="K751" s="206"/>
      <c r="L751" s="392"/>
    </row>
    <row r="752" spans="1:12" ht="15.5" thickTop="1" thickBot="1">
      <c r="A752" s="239"/>
      <c r="B752" s="204"/>
      <c r="C752" s="204"/>
      <c r="D752" s="240"/>
      <c r="E752" s="241"/>
      <c r="F752" s="242"/>
      <c r="G752" s="200"/>
      <c r="H752" s="200"/>
      <c r="I752" s="243"/>
      <c r="J752" s="205"/>
      <c r="K752" s="206"/>
      <c r="L752" s="392"/>
    </row>
    <row r="753" spans="1:12" ht="15.5" thickTop="1" thickBot="1">
      <c r="A753" s="239"/>
      <c r="B753" s="204"/>
      <c r="C753" s="204"/>
      <c r="D753" s="240"/>
      <c r="E753" s="241"/>
      <c r="F753" s="242"/>
      <c r="G753" s="200"/>
      <c r="H753" s="200"/>
      <c r="I753" s="243"/>
      <c r="J753" s="205"/>
      <c r="K753" s="206"/>
      <c r="L753" s="392"/>
    </row>
    <row r="754" spans="1:12" ht="15.5" thickTop="1" thickBot="1">
      <c r="A754" s="239"/>
      <c r="B754" s="204"/>
      <c r="C754" s="204"/>
      <c r="D754" s="240"/>
      <c r="E754" s="241"/>
      <c r="F754" s="242"/>
      <c r="G754" s="200"/>
      <c r="H754" s="200"/>
      <c r="I754" s="243"/>
      <c r="J754" s="205"/>
      <c r="K754" s="206"/>
      <c r="L754" s="392"/>
    </row>
    <row r="755" spans="1:12" ht="15.5" thickTop="1" thickBot="1">
      <c r="A755" s="239"/>
      <c r="B755" s="204"/>
      <c r="C755" s="204"/>
      <c r="D755" s="240"/>
      <c r="E755" s="241"/>
      <c r="F755" s="242"/>
      <c r="G755" s="200"/>
      <c r="H755" s="200"/>
      <c r="I755" s="243"/>
      <c r="J755" s="205"/>
      <c r="K755" s="206"/>
      <c r="L755" s="392"/>
    </row>
    <row r="756" spans="1:12" ht="15.5" thickTop="1" thickBot="1">
      <c r="A756" s="239"/>
      <c r="B756" s="204"/>
      <c r="C756" s="204"/>
      <c r="D756" s="240"/>
      <c r="E756" s="241"/>
      <c r="F756" s="242"/>
      <c r="G756" s="200"/>
      <c r="H756" s="200"/>
      <c r="I756" s="243"/>
      <c r="J756" s="205"/>
      <c r="K756" s="206"/>
      <c r="L756" s="392"/>
    </row>
    <row r="757" spans="1:12" ht="15.5" thickTop="1" thickBot="1">
      <c r="A757" s="239"/>
      <c r="B757" s="204"/>
      <c r="C757" s="204"/>
      <c r="D757" s="240"/>
      <c r="E757" s="241"/>
      <c r="F757" s="242"/>
      <c r="G757" s="200"/>
      <c r="H757" s="200"/>
      <c r="I757" s="243"/>
      <c r="J757" s="205"/>
      <c r="K757" s="206"/>
      <c r="L757" s="392"/>
    </row>
    <row r="758" spans="1:12" ht="15.5" thickTop="1" thickBot="1">
      <c r="A758" s="239"/>
      <c r="B758" s="204"/>
      <c r="C758" s="204"/>
      <c r="D758" s="240"/>
      <c r="E758" s="241"/>
      <c r="F758" s="242"/>
      <c r="G758" s="200"/>
      <c r="H758" s="200"/>
      <c r="I758" s="243"/>
      <c r="J758" s="205"/>
      <c r="K758" s="206"/>
      <c r="L758" s="392"/>
    </row>
    <row r="759" spans="1:12" ht="15.5" thickTop="1" thickBot="1">
      <c r="A759" s="239"/>
      <c r="B759" s="204"/>
      <c r="C759" s="204"/>
      <c r="D759" s="240"/>
      <c r="E759" s="241"/>
      <c r="F759" s="242"/>
      <c r="G759" s="200"/>
      <c r="H759" s="200"/>
      <c r="I759" s="243"/>
      <c r="J759" s="205"/>
      <c r="K759" s="206"/>
      <c r="L759" s="392"/>
    </row>
    <row r="760" spans="1:12" ht="15.5" thickTop="1" thickBot="1">
      <c r="A760" s="239"/>
      <c r="B760" s="204"/>
      <c r="C760" s="204"/>
      <c r="D760" s="240"/>
      <c r="E760" s="241"/>
      <c r="F760" s="242"/>
      <c r="G760" s="200"/>
      <c r="H760" s="200"/>
      <c r="I760" s="243"/>
      <c r="J760" s="205"/>
      <c r="K760" s="206"/>
      <c r="L760" s="392"/>
    </row>
    <row r="761" spans="1:12" ht="15.5" thickTop="1" thickBot="1">
      <c r="A761" s="239"/>
      <c r="B761" s="204"/>
      <c r="C761" s="204"/>
      <c r="D761" s="240"/>
      <c r="E761" s="241"/>
      <c r="F761" s="242"/>
      <c r="G761" s="200"/>
      <c r="H761" s="200"/>
      <c r="I761" s="243"/>
      <c r="J761" s="205"/>
      <c r="K761" s="206"/>
      <c r="L761" s="392"/>
    </row>
    <row r="762" spans="1:12" ht="15.5" thickTop="1" thickBot="1">
      <c r="A762" s="239"/>
      <c r="B762" s="204"/>
      <c r="C762" s="204"/>
      <c r="D762" s="240"/>
      <c r="E762" s="241"/>
      <c r="F762" s="242"/>
      <c r="G762" s="200"/>
      <c r="H762" s="200"/>
      <c r="I762" s="243"/>
      <c r="J762" s="205"/>
      <c r="K762" s="206"/>
      <c r="L762" s="392"/>
    </row>
    <row r="763" spans="1:12" ht="15.5" thickTop="1" thickBot="1">
      <c r="A763" s="239"/>
      <c r="B763" s="204"/>
      <c r="C763" s="204"/>
      <c r="D763" s="240"/>
      <c r="E763" s="241"/>
      <c r="F763" s="242"/>
      <c r="G763" s="200"/>
      <c r="H763" s="200"/>
      <c r="I763" s="243"/>
      <c r="J763" s="205"/>
      <c r="K763" s="206"/>
      <c r="L763" s="392"/>
    </row>
    <row r="764" spans="1:12" ht="15.5" thickTop="1" thickBot="1">
      <c r="A764" s="239"/>
      <c r="B764" s="204"/>
      <c r="C764" s="204"/>
      <c r="D764" s="240"/>
      <c r="E764" s="241"/>
      <c r="F764" s="242"/>
      <c r="G764" s="200"/>
      <c r="H764" s="200"/>
      <c r="I764" s="243"/>
      <c r="J764" s="205"/>
      <c r="K764" s="206"/>
      <c r="L764" s="392"/>
    </row>
    <row r="765" spans="1:12" ht="15.5" thickTop="1" thickBot="1">
      <c r="A765" s="239"/>
      <c r="B765" s="204"/>
      <c r="C765" s="204"/>
      <c r="D765" s="240"/>
      <c r="E765" s="241"/>
      <c r="F765" s="242"/>
      <c r="G765" s="200"/>
      <c r="H765" s="200"/>
      <c r="I765" s="243"/>
      <c r="J765" s="205"/>
      <c r="K765" s="206"/>
      <c r="L765" s="392"/>
    </row>
    <row r="766" spans="1:12" ht="15.5" thickTop="1" thickBot="1">
      <c r="A766" s="239"/>
      <c r="B766" s="204"/>
      <c r="C766" s="204"/>
      <c r="D766" s="240"/>
      <c r="E766" s="241"/>
      <c r="F766" s="242"/>
      <c r="G766" s="200"/>
      <c r="H766" s="200"/>
      <c r="I766" s="243"/>
      <c r="J766" s="205"/>
      <c r="K766" s="206"/>
      <c r="L766" s="392"/>
    </row>
    <row r="767" spans="1:12" ht="15.5" thickTop="1" thickBot="1">
      <c r="A767" s="239"/>
      <c r="B767" s="204"/>
      <c r="C767" s="204"/>
      <c r="D767" s="240"/>
      <c r="E767" s="241"/>
      <c r="F767" s="242"/>
      <c r="G767" s="200"/>
      <c r="H767" s="200"/>
      <c r="I767" s="243"/>
      <c r="J767" s="205"/>
      <c r="K767" s="206"/>
      <c r="L767" s="392"/>
    </row>
    <row r="768" spans="1:12" ht="15.5" thickTop="1" thickBot="1">
      <c r="A768" s="239"/>
      <c r="B768" s="204"/>
      <c r="C768" s="204"/>
      <c r="D768" s="240"/>
      <c r="E768" s="241"/>
      <c r="F768" s="242"/>
      <c r="G768" s="200"/>
      <c r="H768" s="200"/>
      <c r="I768" s="243"/>
      <c r="J768" s="205"/>
      <c r="K768" s="206"/>
      <c r="L768" s="392"/>
    </row>
    <row r="769" spans="1:12" ht="15.5" thickTop="1" thickBot="1">
      <c r="A769" s="239"/>
      <c r="B769" s="204"/>
      <c r="C769" s="204"/>
      <c r="D769" s="240"/>
      <c r="E769" s="241"/>
      <c r="F769" s="242"/>
      <c r="G769" s="200"/>
      <c r="H769" s="200"/>
      <c r="I769" s="243"/>
      <c r="J769" s="205"/>
      <c r="K769" s="206"/>
      <c r="L769" s="392"/>
    </row>
    <row r="770" spans="1:12" ht="15.5" thickTop="1" thickBot="1">
      <c r="A770" s="239"/>
      <c r="B770" s="204"/>
      <c r="C770" s="204"/>
      <c r="D770" s="240"/>
      <c r="E770" s="241"/>
      <c r="F770" s="242"/>
      <c r="G770" s="200"/>
      <c r="H770" s="200"/>
      <c r="I770" s="243"/>
      <c r="J770" s="205"/>
      <c r="K770" s="206"/>
      <c r="L770" s="392"/>
    </row>
    <row r="771" spans="1:12" ht="15.5" thickTop="1" thickBot="1">
      <c r="A771" s="239"/>
      <c r="B771" s="204"/>
      <c r="C771" s="204"/>
      <c r="D771" s="240"/>
      <c r="E771" s="241"/>
      <c r="F771" s="242"/>
      <c r="G771" s="200"/>
      <c r="H771" s="200"/>
      <c r="I771" s="243"/>
      <c r="J771" s="205"/>
      <c r="K771" s="206"/>
      <c r="L771" s="392"/>
    </row>
    <row r="772" spans="1:12" ht="15.5" thickTop="1" thickBot="1">
      <c r="A772" s="239"/>
      <c r="B772" s="204"/>
      <c r="C772" s="204"/>
      <c r="D772" s="240"/>
      <c r="E772" s="241"/>
      <c r="F772" s="242"/>
      <c r="G772" s="200"/>
      <c r="H772" s="200"/>
      <c r="I772" s="243"/>
      <c r="J772" s="205"/>
      <c r="K772" s="206"/>
      <c r="L772" s="392"/>
    </row>
    <row r="773" spans="1:12" ht="15.5" thickTop="1" thickBot="1">
      <c r="A773" s="239"/>
      <c r="B773" s="204"/>
      <c r="C773" s="204"/>
      <c r="D773" s="240"/>
      <c r="E773" s="241"/>
      <c r="F773" s="242"/>
      <c r="G773" s="200"/>
      <c r="H773" s="200"/>
      <c r="I773" s="243"/>
      <c r="J773" s="205"/>
      <c r="K773" s="206"/>
      <c r="L773" s="392"/>
    </row>
    <row r="774" spans="1:12" ht="15.5" thickTop="1" thickBot="1">
      <c r="A774" s="239"/>
      <c r="B774" s="204"/>
      <c r="C774" s="204"/>
      <c r="D774" s="240"/>
      <c r="E774" s="241"/>
      <c r="F774" s="242"/>
      <c r="G774" s="200"/>
      <c r="H774" s="200"/>
      <c r="I774" s="243"/>
      <c r="J774" s="205"/>
      <c r="K774" s="206"/>
      <c r="L774" s="392"/>
    </row>
    <row r="775" spans="1:12" ht="15.5" thickTop="1" thickBot="1">
      <c r="A775" s="239"/>
      <c r="B775" s="204"/>
      <c r="C775" s="204"/>
      <c r="D775" s="240"/>
      <c r="E775" s="241"/>
      <c r="F775" s="242"/>
      <c r="G775" s="200"/>
      <c r="H775" s="200"/>
      <c r="I775" s="243"/>
      <c r="J775" s="205"/>
      <c r="K775" s="206"/>
      <c r="L775" s="392"/>
    </row>
    <row r="776" spans="1:12" ht="15.5" thickTop="1" thickBot="1">
      <c r="A776" s="239"/>
      <c r="B776" s="204"/>
      <c r="C776" s="204"/>
      <c r="D776" s="240"/>
      <c r="E776" s="241"/>
      <c r="F776" s="242"/>
      <c r="G776" s="200"/>
      <c r="H776" s="200"/>
      <c r="I776" s="243"/>
      <c r="J776" s="205"/>
      <c r="K776" s="206"/>
      <c r="L776" s="392"/>
    </row>
    <row r="777" spans="1:12" ht="15.5" thickTop="1" thickBot="1">
      <c r="A777" s="239"/>
      <c r="B777" s="204"/>
      <c r="C777" s="204"/>
      <c r="D777" s="240"/>
      <c r="E777" s="241"/>
      <c r="F777" s="242"/>
      <c r="G777" s="200"/>
      <c r="H777" s="200"/>
      <c r="I777" s="243"/>
      <c r="J777" s="205"/>
      <c r="K777" s="206"/>
      <c r="L777" s="392"/>
    </row>
    <row r="778" spans="1:12" ht="15.5" thickTop="1" thickBot="1">
      <c r="A778" s="239"/>
      <c r="B778" s="204"/>
      <c r="C778" s="204"/>
      <c r="D778" s="240"/>
      <c r="E778" s="241"/>
      <c r="F778" s="242"/>
      <c r="G778" s="200"/>
      <c r="H778" s="200"/>
      <c r="I778" s="243"/>
      <c r="J778" s="205"/>
      <c r="K778" s="206"/>
      <c r="L778" s="392"/>
    </row>
    <row r="779" spans="1:12" ht="15.5" thickTop="1" thickBot="1">
      <c r="A779" s="239"/>
      <c r="B779" s="204"/>
      <c r="C779" s="204"/>
      <c r="D779" s="240"/>
      <c r="E779" s="241"/>
      <c r="F779" s="242"/>
      <c r="G779" s="200"/>
      <c r="H779" s="200"/>
      <c r="I779" s="243"/>
      <c r="J779" s="205"/>
      <c r="K779" s="206"/>
      <c r="L779" s="392"/>
    </row>
    <row r="780" spans="1:12" ht="15.5" thickTop="1" thickBot="1">
      <c r="A780" s="239"/>
      <c r="B780" s="204"/>
      <c r="C780" s="204"/>
      <c r="D780" s="240"/>
      <c r="E780" s="241"/>
      <c r="F780" s="242"/>
      <c r="G780" s="200"/>
      <c r="H780" s="200"/>
      <c r="I780" s="243"/>
      <c r="J780" s="205"/>
      <c r="K780" s="206"/>
      <c r="L780" s="392"/>
    </row>
    <row r="781" spans="1:12" ht="15.5" thickTop="1" thickBot="1">
      <c r="A781" s="239"/>
      <c r="B781" s="204"/>
      <c r="C781" s="204"/>
      <c r="D781" s="240"/>
      <c r="E781" s="241"/>
      <c r="F781" s="242"/>
      <c r="G781" s="200"/>
      <c r="H781" s="200"/>
      <c r="I781" s="243"/>
      <c r="J781" s="205"/>
      <c r="K781" s="206"/>
      <c r="L781" s="392"/>
    </row>
    <row r="782" spans="1:12" ht="15.5" thickTop="1" thickBot="1">
      <c r="A782" s="239"/>
      <c r="B782" s="204"/>
      <c r="C782" s="204"/>
      <c r="D782" s="240"/>
      <c r="E782" s="241"/>
      <c r="F782" s="242"/>
      <c r="G782" s="200"/>
      <c r="H782" s="200"/>
      <c r="I782" s="243"/>
      <c r="J782" s="205"/>
      <c r="K782" s="206"/>
      <c r="L782" s="392"/>
    </row>
    <row r="783" spans="1:12" ht="15.5" thickTop="1" thickBot="1">
      <c r="A783" s="239"/>
      <c r="B783" s="204"/>
      <c r="C783" s="204"/>
      <c r="D783" s="240"/>
      <c r="E783" s="241"/>
      <c r="F783" s="242"/>
      <c r="G783" s="200"/>
      <c r="H783" s="200"/>
      <c r="I783" s="243"/>
      <c r="J783" s="205"/>
      <c r="K783" s="206"/>
      <c r="L783" s="392"/>
    </row>
    <row r="784" spans="1:12" ht="15.5" thickTop="1" thickBot="1">
      <c r="A784" s="239"/>
      <c r="B784" s="204"/>
      <c r="C784" s="204"/>
      <c r="D784" s="240"/>
      <c r="E784" s="241"/>
      <c r="F784" s="242"/>
      <c r="G784" s="200"/>
      <c r="H784" s="200"/>
      <c r="I784" s="243"/>
      <c r="J784" s="205"/>
      <c r="K784" s="206"/>
      <c r="L784" s="392"/>
    </row>
    <row r="785" spans="1:12" ht="15.5" thickTop="1" thickBot="1">
      <c r="A785" s="239"/>
      <c r="B785" s="204"/>
      <c r="C785" s="204"/>
      <c r="D785" s="240"/>
      <c r="E785" s="241"/>
      <c r="F785" s="242"/>
      <c r="G785" s="200"/>
      <c r="H785" s="200"/>
      <c r="I785" s="243"/>
      <c r="J785" s="205"/>
      <c r="K785" s="206"/>
      <c r="L785" s="392"/>
    </row>
    <row r="786" spans="1:12" ht="15.5" thickTop="1" thickBot="1">
      <c r="A786" s="239"/>
      <c r="B786" s="204"/>
      <c r="C786" s="204"/>
      <c r="D786" s="240"/>
      <c r="E786" s="241"/>
      <c r="F786" s="242"/>
      <c r="G786" s="200"/>
      <c r="H786" s="200"/>
      <c r="I786" s="243"/>
      <c r="J786" s="205"/>
      <c r="K786" s="206"/>
      <c r="L786" s="392"/>
    </row>
    <row r="787" spans="1:12" ht="15.5" thickTop="1" thickBot="1">
      <c r="A787" s="239"/>
      <c r="B787" s="204"/>
      <c r="C787" s="204"/>
      <c r="D787" s="240"/>
      <c r="E787" s="241"/>
      <c r="F787" s="242"/>
      <c r="G787" s="200"/>
      <c r="H787" s="200"/>
      <c r="I787" s="243"/>
      <c r="J787" s="205"/>
      <c r="K787" s="206"/>
      <c r="L787" s="392"/>
    </row>
    <row r="788" spans="1:12" ht="15.5" thickTop="1" thickBot="1">
      <c r="A788" s="239"/>
      <c r="B788" s="204"/>
      <c r="C788" s="204"/>
      <c r="D788" s="240"/>
      <c r="E788" s="241"/>
      <c r="F788" s="242"/>
      <c r="G788" s="200"/>
      <c r="H788" s="200"/>
      <c r="I788" s="243"/>
      <c r="J788" s="205"/>
      <c r="K788" s="206"/>
      <c r="L788" s="392"/>
    </row>
    <row r="789" spans="1:12" ht="15.5" thickTop="1" thickBot="1">
      <c r="A789" s="239"/>
      <c r="B789" s="204"/>
      <c r="C789" s="204"/>
      <c r="D789" s="240"/>
      <c r="E789" s="241"/>
      <c r="F789" s="242"/>
      <c r="G789" s="200"/>
      <c r="H789" s="200"/>
      <c r="I789" s="243"/>
      <c r="J789" s="205"/>
      <c r="K789" s="206"/>
      <c r="L789" s="392"/>
    </row>
    <row r="790" spans="1:12" ht="15.5" thickTop="1" thickBot="1">
      <c r="A790" s="239"/>
      <c r="B790" s="204"/>
      <c r="C790" s="204"/>
      <c r="D790" s="240"/>
      <c r="E790" s="241"/>
      <c r="F790" s="242"/>
      <c r="G790" s="200"/>
      <c r="H790" s="200"/>
      <c r="I790" s="243"/>
      <c r="J790" s="205"/>
      <c r="K790" s="206"/>
      <c r="L790" s="392"/>
    </row>
    <row r="791" spans="1:12" ht="15.5" thickTop="1" thickBot="1">
      <c r="A791" s="239"/>
      <c r="B791" s="204"/>
      <c r="C791" s="204"/>
      <c r="D791" s="240"/>
      <c r="E791" s="241"/>
      <c r="F791" s="242"/>
      <c r="G791" s="200"/>
      <c r="H791" s="200"/>
      <c r="I791" s="243"/>
      <c r="J791" s="205"/>
      <c r="K791" s="206"/>
      <c r="L791" s="392"/>
    </row>
    <row r="792" spans="1:12" ht="15.5" thickTop="1" thickBot="1">
      <c r="A792" s="239"/>
      <c r="B792" s="204"/>
      <c r="C792" s="204"/>
      <c r="D792" s="240"/>
      <c r="E792" s="241"/>
      <c r="F792" s="242"/>
      <c r="G792" s="200"/>
      <c r="H792" s="200"/>
      <c r="I792" s="243"/>
      <c r="J792" s="205"/>
      <c r="K792" s="206"/>
      <c r="L792" s="392"/>
    </row>
    <row r="793" spans="1:12" ht="15.5" thickTop="1" thickBot="1">
      <c r="A793" s="239"/>
      <c r="B793" s="204"/>
      <c r="C793" s="204"/>
      <c r="D793" s="240"/>
      <c r="E793" s="241"/>
      <c r="F793" s="242"/>
      <c r="G793" s="200"/>
      <c r="H793" s="200"/>
      <c r="I793" s="243"/>
      <c r="J793" s="205"/>
      <c r="K793" s="206"/>
      <c r="L793" s="392"/>
    </row>
    <row r="794" spans="1:12" ht="15.5" thickTop="1" thickBot="1">
      <c r="A794" s="239"/>
      <c r="B794" s="204"/>
      <c r="C794" s="204"/>
      <c r="D794" s="240"/>
      <c r="E794" s="241"/>
      <c r="F794" s="242"/>
      <c r="G794" s="200"/>
      <c r="H794" s="200"/>
      <c r="I794" s="243"/>
      <c r="J794" s="205"/>
      <c r="K794" s="206"/>
      <c r="L794" s="392"/>
    </row>
    <row r="795" spans="1:12" ht="15.5" thickTop="1" thickBot="1">
      <c r="A795" s="239"/>
      <c r="B795" s="204"/>
      <c r="C795" s="204"/>
      <c r="D795" s="240"/>
      <c r="E795" s="241"/>
      <c r="F795" s="242"/>
      <c r="G795" s="200"/>
      <c r="H795" s="200"/>
      <c r="I795" s="243"/>
      <c r="J795" s="205"/>
      <c r="K795" s="206"/>
      <c r="L795" s="392"/>
    </row>
    <row r="796" spans="1:12" ht="15.5" thickTop="1" thickBot="1">
      <c r="A796" s="239"/>
      <c r="B796" s="204"/>
      <c r="C796" s="204"/>
      <c r="D796" s="240"/>
      <c r="E796" s="241"/>
      <c r="F796" s="242"/>
      <c r="G796" s="200"/>
      <c r="H796" s="200"/>
      <c r="I796" s="243"/>
      <c r="J796" s="205"/>
      <c r="K796" s="206"/>
      <c r="L796" s="392"/>
    </row>
    <row r="797" spans="1:12" ht="15.5" thickTop="1" thickBot="1">
      <c r="A797" s="239"/>
      <c r="B797" s="204"/>
      <c r="C797" s="204"/>
      <c r="D797" s="240"/>
      <c r="E797" s="241"/>
      <c r="F797" s="242"/>
      <c r="G797" s="200"/>
      <c r="H797" s="200"/>
      <c r="I797" s="243"/>
      <c r="J797" s="205"/>
      <c r="K797" s="206"/>
      <c r="L797" s="392"/>
    </row>
    <row r="798" spans="1:12" ht="15.5" thickTop="1" thickBot="1">
      <c r="A798" s="239"/>
      <c r="B798" s="204"/>
      <c r="C798" s="204"/>
      <c r="D798" s="240"/>
      <c r="E798" s="241"/>
      <c r="F798" s="242"/>
      <c r="G798" s="200"/>
      <c r="H798" s="200"/>
      <c r="I798" s="243"/>
      <c r="J798" s="205"/>
      <c r="K798" s="206"/>
      <c r="L798" s="392"/>
    </row>
    <row r="799" spans="1:12" ht="15.5" thickTop="1" thickBot="1">
      <c r="A799" s="239"/>
      <c r="B799" s="204"/>
      <c r="C799" s="204"/>
      <c r="D799" s="240"/>
      <c r="E799" s="241"/>
      <c r="F799" s="242"/>
      <c r="G799" s="200"/>
      <c r="H799" s="200"/>
      <c r="I799" s="243"/>
      <c r="J799" s="205"/>
      <c r="K799" s="206"/>
      <c r="L799" s="392"/>
    </row>
    <row r="800" spans="1:12" ht="15.5" thickTop="1" thickBot="1">
      <c r="A800" s="239"/>
      <c r="B800" s="204"/>
      <c r="C800" s="204"/>
      <c r="D800" s="240"/>
      <c r="E800" s="241"/>
      <c r="F800" s="242"/>
      <c r="G800" s="200"/>
      <c r="H800" s="200"/>
      <c r="I800" s="243"/>
      <c r="J800" s="205"/>
      <c r="K800" s="206"/>
      <c r="L800" s="392"/>
    </row>
    <row r="801" spans="1:12" ht="15.5" thickTop="1" thickBot="1">
      <c r="A801" s="239"/>
      <c r="B801" s="204"/>
      <c r="C801" s="204"/>
      <c r="D801" s="240"/>
      <c r="E801" s="241"/>
      <c r="F801" s="242"/>
      <c r="G801" s="200"/>
      <c r="H801" s="200"/>
      <c r="I801" s="243"/>
      <c r="J801" s="205"/>
      <c r="K801" s="206"/>
      <c r="L801" s="392"/>
    </row>
    <row r="802" spans="1:12" ht="15.5" thickTop="1" thickBot="1">
      <c r="A802" s="239"/>
      <c r="B802" s="204"/>
      <c r="C802" s="204"/>
      <c r="D802" s="240"/>
      <c r="E802" s="241"/>
      <c r="F802" s="242"/>
      <c r="G802" s="200"/>
      <c r="H802" s="200"/>
      <c r="I802" s="243"/>
      <c r="J802" s="205"/>
      <c r="K802" s="206"/>
      <c r="L802" s="392"/>
    </row>
    <row r="803" spans="1:12" ht="15.5" thickTop="1" thickBot="1">
      <c r="A803" s="239"/>
      <c r="B803" s="204"/>
      <c r="C803" s="204"/>
      <c r="D803" s="240"/>
      <c r="E803" s="241"/>
      <c r="F803" s="242"/>
      <c r="G803" s="200"/>
      <c r="H803" s="200"/>
      <c r="I803" s="243"/>
      <c r="J803" s="205"/>
      <c r="K803" s="206"/>
      <c r="L803" s="392"/>
    </row>
    <row r="804" spans="1:12" ht="15.5" thickTop="1" thickBot="1">
      <c r="A804" s="239"/>
      <c r="B804" s="204"/>
      <c r="C804" s="204"/>
      <c r="D804" s="240"/>
      <c r="E804" s="241"/>
      <c r="F804" s="242"/>
      <c r="G804" s="200"/>
      <c r="H804" s="200"/>
      <c r="I804" s="243"/>
      <c r="J804" s="205"/>
      <c r="K804" s="206"/>
      <c r="L804" s="392"/>
    </row>
    <row r="805" spans="1:12" ht="15.5" thickTop="1" thickBot="1">
      <c r="A805" s="239"/>
      <c r="B805" s="204"/>
      <c r="C805" s="204"/>
      <c r="D805" s="240"/>
      <c r="E805" s="241"/>
      <c r="F805" s="242"/>
      <c r="G805" s="200"/>
      <c r="H805" s="200"/>
      <c r="I805" s="243"/>
      <c r="J805" s="205"/>
      <c r="K805" s="206"/>
      <c r="L805" s="392"/>
    </row>
    <row r="806" spans="1:12" ht="15.5" thickTop="1" thickBot="1">
      <c r="A806" s="239"/>
      <c r="B806" s="204"/>
      <c r="C806" s="204"/>
      <c r="D806" s="240"/>
      <c r="E806" s="241"/>
      <c r="F806" s="242"/>
      <c r="G806" s="200"/>
      <c r="H806" s="200"/>
      <c r="I806" s="243"/>
      <c r="J806" s="205"/>
      <c r="K806" s="206"/>
      <c r="L806" s="392"/>
    </row>
    <row r="807" spans="1:12" ht="15.5" thickTop="1" thickBot="1">
      <c r="A807" s="239"/>
      <c r="B807" s="204"/>
      <c r="C807" s="204"/>
      <c r="D807" s="240"/>
      <c r="E807" s="241"/>
      <c r="F807" s="242"/>
      <c r="G807" s="200"/>
      <c r="H807" s="200"/>
      <c r="I807" s="243"/>
      <c r="J807" s="205"/>
      <c r="K807" s="206"/>
      <c r="L807" s="392"/>
    </row>
    <row r="808" spans="1:12" ht="15.5" thickTop="1" thickBot="1">
      <c r="A808" s="239"/>
      <c r="B808" s="204"/>
      <c r="C808" s="204"/>
      <c r="D808" s="240"/>
      <c r="E808" s="241"/>
      <c r="F808" s="242"/>
      <c r="G808" s="200"/>
      <c r="H808" s="200"/>
      <c r="I808" s="243"/>
      <c r="J808" s="205"/>
      <c r="K808" s="206"/>
      <c r="L808" s="392"/>
    </row>
    <row r="809" spans="1:12" ht="15.5" thickTop="1" thickBot="1">
      <c r="A809" s="239"/>
      <c r="B809" s="204"/>
      <c r="C809" s="204"/>
      <c r="D809" s="240"/>
      <c r="E809" s="241"/>
      <c r="F809" s="242"/>
      <c r="G809" s="200"/>
      <c r="H809" s="200"/>
      <c r="I809" s="243"/>
      <c r="J809" s="205"/>
      <c r="K809" s="206"/>
      <c r="L809" s="392"/>
    </row>
    <row r="810" spans="1:12" ht="15.5" thickTop="1" thickBot="1">
      <c r="A810" s="239"/>
      <c r="B810" s="204"/>
      <c r="C810" s="204"/>
      <c r="D810" s="240"/>
      <c r="E810" s="241"/>
      <c r="F810" s="242"/>
      <c r="G810" s="200"/>
      <c r="H810" s="200"/>
      <c r="I810" s="243"/>
      <c r="J810" s="205"/>
      <c r="K810" s="206"/>
      <c r="L810" s="392"/>
    </row>
    <row r="811" spans="1:12" ht="15.5" thickTop="1" thickBot="1">
      <c r="A811" s="239"/>
      <c r="B811" s="204"/>
      <c r="C811" s="204"/>
      <c r="D811" s="240"/>
      <c r="E811" s="241"/>
      <c r="F811" s="242"/>
      <c r="G811" s="200"/>
      <c r="H811" s="200"/>
      <c r="I811" s="243"/>
      <c r="J811" s="205"/>
      <c r="K811" s="206"/>
      <c r="L811" s="392"/>
    </row>
    <row r="812" spans="1:12" ht="15.5" thickTop="1" thickBot="1">
      <c r="A812" s="239"/>
      <c r="B812" s="204"/>
      <c r="C812" s="204"/>
      <c r="D812" s="240"/>
      <c r="E812" s="241"/>
      <c r="F812" s="242"/>
      <c r="G812" s="200"/>
      <c r="H812" s="200"/>
      <c r="I812" s="243"/>
      <c r="J812" s="205"/>
      <c r="K812" s="206"/>
      <c r="L812" s="392"/>
    </row>
    <row r="813" spans="1:12" ht="15.5" thickTop="1" thickBot="1">
      <c r="A813" s="239"/>
      <c r="B813" s="204"/>
      <c r="C813" s="204"/>
      <c r="D813" s="240"/>
      <c r="E813" s="241"/>
      <c r="F813" s="242"/>
      <c r="G813" s="200"/>
      <c r="H813" s="200"/>
      <c r="I813" s="243"/>
      <c r="J813" s="205"/>
      <c r="K813" s="206"/>
      <c r="L813" s="392"/>
    </row>
    <row r="814" spans="1:12" ht="15.5" thickTop="1" thickBot="1">
      <c r="A814" s="239"/>
      <c r="B814" s="204"/>
      <c r="C814" s="204"/>
      <c r="D814" s="240"/>
      <c r="E814" s="241"/>
      <c r="F814" s="242"/>
      <c r="G814" s="200"/>
      <c r="H814" s="200"/>
      <c r="I814" s="243"/>
      <c r="J814" s="205"/>
      <c r="K814" s="206"/>
      <c r="L814" s="392"/>
    </row>
    <row r="815" spans="1:12" ht="15.5" thickTop="1" thickBot="1">
      <c r="A815" s="239"/>
      <c r="B815" s="204"/>
      <c r="C815" s="204"/>
      <c r="D815" s="240"/>
      <c r="E815" s="241"/>
      <c r="F815" s="242"/>
      <c r="G815" s="200"/>
      <c r="H815" s="200"/>
      <c r="I815" s="243"/>
      <c r="J815" s="205"/>
      <c r="K815" s="206"/>
      <c r="L815" s="392"/>
    </row>
    <row r="816" spans="1:12" ht="15.5" thickTop="1" thickBot="1">
      <c r="A816" s="239"/>
      <c r="B816" s="204"/>
      <c r="C816" s="204"/>
      <c r="D816" s="240"/>
      <c r="E816" s="241"/>
      <c r="F816" s="242"/>
      <c r="G816" s="200"/>
      <c r="H816" s="200"/>
      <c r="I816" s="243"/>
      <c r="J816" s="205"/>
      <c r="K816" s="206"/>
      <c r="L816" s="392"/>
    </row>
    <row r="817" spans="1:12" ht="15.5" thickTop="1" thickBot="1">
      <c r="A817" s="239"/>
      <c r="B817" s="204"/>
      <c r="C817" s="204"/>
      <c r="D817" s="240"/>
      <c r="E817" s="241"/>
      <c r="F817" s="242"/>
      <c r="G817" s="200"/>
      <c r="H817" s="200"/>
      <c r="I817" s="243"/>
      <c r="J817" s="205"/>
      <c r="K817" s="206"/>
      <c r="L817" s="392"/>
    </row>
    <row r="818" spans="1:12" ht="15.5" thickTop="1" thickBot="1">
      <c r="A818" s="239"/>
      <c r="B818" s="204"/>
      <c r="C818" s="204"/>
      <c r="D818" s="240"/>
      <c r="E818" s="241"/>
      <c r="F818" s="242"/>
      <c r="G818" s="200"/>
      <c r="H818" s="200"/>
      <c r="I818" s="243"/>
      <c r="J818" s="205"/>
      <c r="K818" s="206"/>
      <c r="L818" s="392"/>
    </row>
    <row r="819" spans="1:12" ht="15.5" thickTop="1" thickBot="1">
      <c r="A819" s="239"/>
      <c r="B819" s="204"/>
      <c r="C819" s="204"/>
      <c r="D819" s="240"/>
      <c r="E819" s="241"/>
      <c r="F819" s="242"/>
      <c r="G819" s="200"/>
      <c r="H819" s="200"/>
      <c r="I819" s="243"/>
      <c r="J819" s="205"/>
      <c r="K819" s="206"/>
      <c r="L819" s="392"/>
    </row>
    <row r="820" spans="1:12" ht="15.5" thickTop="1" thickBot="1">
      <c r="A820" s="239"/>
      <c r="B820" s="204"/>
      <c r="C820" s="204"/>
      <c r="D820" s="240"/>
      <c r="E820" s="241"/>
      <c r="F820" s="242"/>
      <c r="G820" s="200"/>
      <c r="H820" s="200"/>
      <c r="I820" s="243"/>
      <c r="J820" s="205"/>
      <c r="K820" s="206"/>
      <c r="L820" s="392"/>
    </row>
    <row r="821" spans="1:12" ht="15.5" thickTop="1" thickBot="1">
      <c r="A821" s="239"/>
      <c r="B821" s="204"/>
      <c r="C821" s="204"/>
      <c r="D821" s="240"/>
      <c r="E821" s="241"/>
      <c r="F821" s="242"/>
      <c r="G821" s="200"/>
      <c r="H821" s="200"/>
      <c r="I821" s="243"/>
      <c r="J821" s="205"/>
      <c r="K821" s="206"/>
      <c r="L821" s="392"/>
    </row>
    <row r="822" spans="1:12" ht="15.5" thickTop="1" thickBot="1">
      <c r="A822" s="239"/>
      <c r="B822" s="204"/>
      <c r="C822" s="204"/>
      <c r="D822" s="240"/>
      <c r="E822" s="241"/>
      <c r="F822" s="242"/>
      <c r="G822" s="200"/>
      <c r="H822" s="200"/>
      <c r="I822" s="243"/>
      <c r="J822" s="205"/>
      <c r="K822" s="206"/>
      <c r="L822" s="392"/>
    </row>
    <row r="823" spans="1:12" ht="15.5" thickTop="1" thickBot="1">
      <c r="A823" s="239"/>
      <c r="B823" s="204"/>
      <c r="C823" s="204"/>
      <c r="D823" s="240"/>
      <c r="E823" s="241"/>
      <c r="F823" s="242"/>
      <c r="G823" s="200"/>
      <c r="H823" s="200"/>
      <c r="I823" s="243"/>
      <c r="J823" s="205"/>
      <c r="K823" s="206"/>
      <c r="L823" s="392"/>
    </row>
    <row r="824" spans="1:12" ht="15.5" thickTop="1" thickBot="1">
      <c r="A824" s="239"/>
      <c r="B824" s="204"/>
      <c r="C824" s="204"/>
      <c r="D824" s="240"/>
      <c r="E824" s="241"/>
      <c r="F824" s="242"/>
      <c r="G824" s="200"/>
      <c r="H824" s="200"/>
      <c r="I824" s="243"/>
      <c r="J824" s="205"/>
      <c r="K824" s="206"/>
      <c r="L824" s="392"/>
    </row>
    <row r="825" spans="1:12" ht="15.5" thickTop="1" thickBot="1">
      <c r="A825" s="239"/>
      <c r="B825" s="204"/>
      <c r="C825" s="204"/>
      <c r="D825" s="240"/>
      <c r="E825" s="241"/>
      <c r="F825" s="242"/>
      <c r="G825" s="200"/>
      <c r="H825" s="200"/>
      <c r="I825" s="243"/>
      <c r="J825" s="205"/>
      <c r="K825" s="206"/>
      <c r="L825" s="392"/>
    </row>
    <row r="826" spans="1:12" ht="15.5" thickTop="1" thickBot="1">
      <c r="A826" s="239"/>
      <c r="B826" s="204"/>
      <c r="C826" s="204"/>
      <c r="D826" s="240"/>
      <c r="E826" s="241"/>
      <c r="F826" s="242"/>
      <c r="G826" s="200"/>
      <c r="H826" s="200"/>
      <c r="I826" s="243"/>
      <c r="J826" s="205"/>
      <c r="K826" s="206"/>
      <c r="L826" s="392"/>
    </row>
    <row r="827" spans="1:12" ht="15.5" thickTop="1" thickBot="1">
      <c r="A827" s="239"/>
      <c r="B827" s="204"/>
      <c r="C827" s="204"/>
      <c r="D827" s="240"/>
      <c r="E827" s="241"/>
      <c r="F827" s="242"/>
      <c r="G827" s="200"/>
      <c r="H827" s="200"/>
      <c r="I827" s="243"/>
      <c r="J827" s="205"/>
      <c r="K827" s="206"/>
      <c r="L827" s="392"/>
    </row>
    <row r="828" spans="1:12" ht="15.5" thickTop="1" thickBot="1">
      <c r="A828" s="239"/>
      <c r="B828" s="204"/>
      <c r="C828" s="204"/>
      <c r="D828" s="240"/>
      <c r="E828" s="241"/>
      <c r="F828" s="242"/>
      <c r="G828" s="200"/>
      <c r="H828" s="200"/>
      <c r="I828" s="243"/>
      <c r="J828" s="205"/>
      <c r="K828" s="206"/>
      <c r="L828" s="392"/>
    </row>
    <row r="829" spans="1:12" ht="15.5" thickTop="1" thickBot="1">
      <c r="A829" s="239"/>
      <c r="B829" s="204"/>
      <c r="C829" s="204"/>
      <c r="D829" s="240"/>
      <c r="E829" s="241"/>
      <c r="F829" s="242"/>
      <c r="G829" s="200"/>
      <c r="H829" s="200"/>
      <c r="I829" s="243"/>
      <c r="J829" s="205"/>
      <c r="K829" s="206"/>
      <c r="L829" s="392"/>
    </row>
    <row r="830" spans="1:12" ht="15.5" thickTop="1" thickBot="1">
      <c r="A830" s="239"/>
      <c r="B830" s="204"/>
      <c r="C830" s="204"/>
      <c r="D830" s="240"/>
      <c r="E830" s="241"/>
      <c r="F830" s="242"/>
      <c r="G830" s="200"/>
      <c r="H830" s="200"/>
      <c r="I830" s="243"/>
      <c r="J830" s="205"/>
      <c r="K830" s="206"/>
      <c r="L830" s="392"/>
    </row>
    <row r="831" spans="1:12" ht="15.5" thickTop="1" thickBot="1">
      <c r="A831" s="239"/>
      <c r="B831" s="204"/>
      <c r="C831" s="204"/>
      <c r="D831" s="240"/>
      <c r="E831" s="241"/>
      <c r="F831" s="242"/>
      <c r="G831" s="200"/>
      <c r="H831" s="200"/>
      <c r="I831" s="243"/>
      <c r="J831" s="205"/>
      <c r="K831" s="206"/>
      <c r="L831" s="392"/>
    </row>
    <row r="832" spans="1:12" ht="15.5" thickTop="1" thickBot="1">
      <c r="A832" s="239"/>
      <c r="B832" s="204"/>
      <c r="C832" s="204"/>
      <c r="D832" s="240"/>
      <c r="E832" s="241"/>
      <c r="F832" s="242"/>
      <c r="G832" s="200"/>
      <c r="H832" s="200"/>
      <c r="I832" s="243"/>
      <c r="J832" s="205"/>
      <c r="K832" s="206"/>
      <c r="L832" s="392"/>
    </row>
    <row r="833" spans="1:12" ht="15.5" thickTop="1" thickBot="1">
      <c r="A833" s="239"/>
      <c r="B833" s="204"/>
      <c r="C833" s="204"/>
      <c r="D833" s="240"/>
      <c r="E833" s="241"/>
      <c r="F833" s="242"/>
      <c r="G833" s="200"/>
      <c r="H833" s="200"/>
      <c r="I833" s="243"/>
      <c r="J833" s="205"/>
      <c r="K833" s="206"/>
      <c r="L833" s="392"/>
    </row>
    <row r="834" spans="1:12" ht="15.5" thickTop="1" thickBot="1">
      <c r="A834" s="239"/>
      <c r="B834" s="204"/>
      <c r="C834" s="204"/>
      <c r="D834" s="240"/>
      <c r="E834" s="241"/>
      <c r="F834" s="242"/>
      <c r="G834" s="200"/>
      <c r="H834" s="200"/>
      <c r="I834" s="243"/>
      <c r="J834" s="205"/>
      <c r="K834" s="206"/>
      <c r="L834" s="392"/>
    </row>
    <row r="835" spans="1:12" ht="15.5" thickTop="1" thickBot="1">
      <c r="A835" s="239"/>
      <c r="B835" s="204"/>
      <c r="C835" s="204"/>
      <c r="D835" s="240"/>
      <c r="E835" s="241"/>
      <c r="F835" s="242"/>
      <c r="G835" s="200"/>
      <c r="H835" s="200"/>
      <c r="I835" s="243"/>
      <c r="J835" s="205"/>
      <c r="K835" s="206"/>
      <c r="L835" s="392"/>
    </row>
    <row r="836" spans="1:12" ht="15.5" thickTop="1" thickBot="1">
      <c r="A836" s="239"/>
      <c r="B836" s="204"/>
      <c r="C836" s="204"/>
      <c r="D836" s="240"/>
      <c r="E836" s="241"/>
      <c r="F836" s="242"/>
      <c r="G836" s="200"/>
      <c r="H836" s="200"/>
      <c r="I836" s="243"/>
      <c r="J836" s="205"/>
      <c r="K836" s="206"/>
      <c r="L836" s="392"/>
    </row>
    <row r="837" spans="1:12" ht="15.5" thickTop="1" thickBot="1">
      <c r="A837" s="239"/>
      <c r="B837" s="204"/>
      <c r="C837" s="204"/>
      <c r="D837" s="240"/>
      <c r="E837" s="241"/>
      <c r="F837" s="242"/>
      <c r="G837" s="200"/>
      <c r="H837" s="200"/>
      <c r="I837" s="243"/>
      <c r="J837" s="205"/>
      <c r="K837" s="206"/>
      <c r="L837" s="392"/>
    </row>
    <row r="838" spans="1:12" ht="15.5" thickTop="1" thickBot="1">
      <c r="A838" s="239"/>
      <c r="B838" s="204"/>
      <c r="C838" s="204"/>
      <c r="D838" s="240"/>
      <c r="E838" s="241"/>
      <c r="F838" s="242"/>
      <c r="G838" s="200"/>
      <c r="H838" s="200"/>
      <c r="I838" s="243"/>
      <c r="J838" s="205"/>
      <c r="K838" s="206"/>
      <c r="L838" s="392"/>
    </row>
    <row r="839" spans="1:12" ht="15.5" thickTop="1" thickBot="1">
      <c r="A839" s="239"/>
      <c r="B839" s="204"/>
      <c r="C839" s="204"/>
      <c r="D839" s="240"/>
      <c r="E839" s="241"/>
      <c r="F839" s="242"/>
      <c r="G839" s="200"/>
      <c r="H839" s="200"/>
      <c r="I839" s="243"/>
      <c r="J839" s="205"/>
      <c r="K839" s="206"/>
      <c r="L839" s="392"/>
    </row>
    <row r="840" spans="1:12" ht="15.5" thickTop="1" thickBot="1">
      <c r="A840" s="239"/>
      <c r="B840" s="204"/>
      <c r="C840" s="204"/>
      <c r="D840" s="240"/>
      <c r="E840" s="241"/>
      <c r="F840" s="242"/>
      <c r="G840" s="200"/>
      <c r="H840" s="200"/>
      <c r="I840" s="243"/>
      <c r="J840" s="205"/>
      <c r="K840" s="206"/>
      <c r="L840" s="392"/>
    </row>
    <row r="841" spans="1:12" ht="15.5" thickTop="1" thickBot="1">
      <c r="A841" s="239"/>
      <c r="B841" s="204"/>
      <c r="C841" s="204"/>
      <c r="D841" s="240"/>
      <c r="E841" s="241"/>
      <c r="F841" s="242"/>
      <c r="G841" s="200"/>
      <c r="H841" s="200"/>
      <c r="I841" s="243"/>
      <c r="J841" s="205"/>
      <c r="K841" s="206"/>
      <c r="L841" s="392"/>
    </row>
    <row r="842" spans="1:12" ht="15.5" thickTop="1" thickBot="1">
      <c r="A842" s="239"/>
      <c r="B842" s="204"/>
      <c r="C842" s="204"/>
      <c r="D842" s="240"/>
      <c r="E842" s="241"/>
      <c r="F842" s="242"/>
      <c r="G842" s="200"/>
      <c r="H842" s="200"/>
      <c r="I842" s="243"/>
      <c r="J842" s="205"/>
      <c r="K842" s="206"/>
      <c r="L842" s="392"/>
    </row>
    <row r="843" spans="1:12" ht="15.5" thickTop="1" thickBot="1">
      <c r="A843" s="239"/>
      <c r="B843" s="204"/>
      <c r="C843" s="204"/>
      <c r="D843" s="240"/>
      <c r="E843" s="241"/>
      <c r="F843" s="242"/>
      <c r="G843" s="200"/>
      <c r="H843" s="200"/>
      <c r="I843" s="243"/>
      <c r="J843" s="205"/>
      <c r="K843" s="206"/>
      <c r="L843" s="392"/>
    </row>
    <row r="844" spans="1:12" ht="15.5" thickTop="1" thickBot="1">
      <c r="A844" s="239"/>
      <c r="B844" s="204"/>
      <c r="C844" s="204"/>
      <c r="D844" s="240"/>
      <c r="E844" s="241"/>
      <c r="F844" s="242"/>
      <c r="G844" s="200"/>
      <c r="H844" s="200"/>
      <c r="I844" s="243"/>
      <c r="J844" s="205"/>
      <c r="K844" s="206"/>
      <c r="L844" s="392"/>
    </row>
    <row r="845" spans="1:12" ht="15.5" thickTop="1" thickBot="1">
      <c r="A845" s="239"/>
      <c r="B845" s="204"/>
      <c r="C845" s="204"/>
      <c r="D845" s="240"/>
      <c r="E845" s="241"/>
      <c r="F845" s="242"/>
      <c r="G845" s="200"/>
      <c r="H845" s="200"/>
      <c r="I845" s="243"/>
      <c r="J845" s="205"/>
      <c r="K845" s="206"/>
      <c r="L845" s="392"/>
    </row>
    <row r="846" spans="1:12" ht="15.5" thickTop="1" thickBot="1">
      <c r="A846" s="239"/>
      <c r="B846" s="204"/>
      <c r="C846" s="204"/>
      <c r="D846" s="240"/>
      <c r="E846" s="241"/>
      <c r="F846" s="242"/>
      <c r="G846" s="200"/>
      <c r="H846" s="200"/>
      <c r="I846" s="243"/>
      <c r="J846" s="205"/>
      <c r="K846" s="206"/>
      <c r="L846" s="392"/>
    </row>
    <row r="847" spans="1:12" ht="15.5" thickTop="1" thickBot="1">
      <c r="A847" s="239"/>
      <c r="B847" s="204"/>
      <c r="C847" s="204"/>
      <c r="D847" s="240"/>
      <c r="E847" s="241"/>
      <c r="F847" s="242"/>
      <c r="G847" s="200"/>
      <c r="H847" s="200"/>
      <c r="I847" s="243"/>
      <c r="J847" s="205"/>
      <c r="K847" s="206"/>
      <c r="L847" s="392"/>
    </row>
    <row r="848" spans="1:12" ht="15.5" thickTop="1" thickBot="1">
      <c r="A848" s="239"/>
      <c r="B848" s="204"/>
      <c r="C848" s="204"/>
      <c r="D848" s="240"/>
      <c r="E848" s="241"/>
      <c r="F848" s="242"/>
      <c r="G848" s="200"/>
      <c r="H848" s="200"/>
      <c r="I848" s="243"/>
      <c r="J848" s="205"/>
      <c r="K848" s="206"/>
      <c r="L848" s="392"/>
    </row>
    <row r="849" spans="1:12" ht="15.5" thickTop="1" thickBot="1">
      <c r="A849" s="239"/>
      <c r="B849" s="204"/>
      <c r="C849" s="204"/>
      <c r="D849" s="240"/>
      <c r="E849" s="241"/>
      <c r="F849" s="242"/>
      <c r="G849" s="200"/>
      <c r="H849" s="200"/>
      <c r="I849" s="243"/>
      <c r="J849" s="205"/>
      <c r="K849" s="206"/>
      <c r="L849" s="392"/>
    </row>
    <row r="850" spans="1:12" ht="15.5" thickTop="1" thickBot="1">
      <c r="A850" s="239"/>
      <c r="B850" s="204"/>
      <c r="C850" s="204"/>
      <c r="D850" s="240"/>
      <c r="E850" s="241"/>
      <c r="F850" s="242"/>
      <c r="G850" s="200"/>
      <c r="H850" s="200"/>
      <c r="I850" s="243"/>
      <c r="J850" s="205"/>
      <c r="K850" s="206"/>
      <c r="L850" s="392"/>
    </row>
    <row r="851" spans="1:12" ht="15.5" thickTop="1" thickBot="1">
      <c r="A851" s="239"/>
      <c r="B851" s="204"/>
      <c r="C851" s="204"/>
      <c r="D851" s="240"/>
      <c r="E851" s="241"/>
      <c r="F851" s="242"/>
      <c r="G851" s="200"/>
      <c r="H851" s="200"/>
      <c r="I851" s="243"/>
      <c r="J851" s="205"/>
      <c r="K851" s="206"/>
      <c r="L851" s="392"/>
    </row>
    <row r="852" spans="1:12" ht="15.5" thickTop="1" thickBot="1">
      <c r="A852" s="239"/>
      <c r="B852" s="204"/>
      <c r="C852" s="204"/>
      <c r="D852" s="240"/>
      <c r="E852" s="241"/>
      <c r="F852" s="242"/>
      <c r="G852" s="200"/>
      <c r="H852" s="200"/>
      <c r="I852" s="243"/>
      <c r="J852" s="205"/>
      <c r="K852" s="206"/>
      <c r="L852" s="392"/>
    </row>
    <row r="853" spans="1:12" ht="15.5" thickTop="1" thickBot="1">
      <c r="A853" s="239"/>
      <c r="B853" s="204"/>
      <c r="C853" s="204"/>
      <c r="D853" s="240"/>
      <c r="E853" s="241"/>
      <c r="F853" s="242"/>
      <c r="G853" s="200"/>
      <c r="H853" s="200"/>
      <c r="I853" s="243"/>
      <c r="J853" s="205"/>
      <c r="K853" s="206"/>
      <c r="L853" s="392"/>
    </row>
    <row r="854" spans="1:12" ht="15.5" thickTop="1" thickBot="1">
      <c r="A854" s="239"/>
      <c r="B854" s="204"/>
      <c r="C854" s="204"/>
      <c r="D854" s="240"/>
      <c r="E854" s="241"/>
      <c r="F854" s="242"/>
      <c r="G854" s="200"/>
      <c r="H854" s="200"/>
      <c r="I854" s="243"/>
      <c r="J854" s="205"/>
      <c r="K854" s="206"/>
      <c r="L854" s="392"/>
    </row>
    <row r="855" spans="1:12" ht="15.5" thickTop="1" thickBot="1">
      <c r="A855" s="239"/>
      <c r="B855" s="204"/>
      <c r="C855" s="204"/>
      <c r="D855" s="240"/>
      <c r="E855" s="241"/>
      <c r="F855" s="242"/>
      <c r="G855" s="200"/>
      <c r="H855" s="200"/>
      <c r="I855" s="243"/>
      <c r="J855" s="205"/>
      <c r="K855" s="206"/>
      <c r="L855" s="392"/>
    </row>
    <row r="856" spans="1:12" ht="15.5" thickTop="1" thickBot="1">
      <c r="A856" s="239"/>
      <c r="B856" s="204"/>
      <c r="C856" s="204"/>
      <c r="D856" s="240"/>
      <c r="E856" s="241"/>
      <c r="F856" s="242"/>
      <c r="G856" s="200"/>
      <c r="H856" s="200"/>
      <c r="I856" s="243"/>
      <c r="J856" s="205"/>
      <c r="K856" s="206"/>
      <c r="L856" s="392"/>
    </row>
    <row r="857" spans="1:12" ht="15.5" thickTop="1" thickBot="1">
      <c r="A857" s="239"/>
      <c r="B857" s="204"/>
      <c r="C857" s="204"/>
      <c r="D857" s="240"/>
      <c r="E857" s="241"/>
      <c r="F857" s="242"/>
      <c r="G857" s="200"/>
      <c r="H857" s="200"/>
      <c r="I857" s="243"/>
      <c r="J857" s="205"/>
      <c r="K857" s="206"/>
      <c r="L857" s="392"/>
    </row>
    <row r="858" spans="1:12" ht="15.5" thickTop="1" thickBot="1">
      <c r="A858" s="239"/>
      <c r="B858" s="204"/>
      <c r="C858" s="204"/>
      <c r="D858" s="240"/>
      <c r="E858" s="241"/>
      <c r="F858" s="242"/>
      <c r="G858" s="200"/>
      <c r="H858" s="200"/>
      <c r="I858" s="243"/>
      <c r="J858" s="205"/>
      <c r="K858" s="206"/>
      <c r="L858" s="392"/>
    </row>
    <row r="859" spans="1:12" ht="15.5" thickTop="1" thickBot="1">
      <c r="A859" s="239"/>
      <c r="B859" s="204"/>
      <c r="C859" s="204"/>
      <c r="D859" s="240"/>
      <c r="E859" s="241"/>
      <c r="F859" s="242"/>
      <c r="G859" s="200"/>
      <c r="H859" s="200"/>
      <c r="I859" s="243"/>
      <c r="J859" s="205"/>
      <c r="K859" s="206"/>
      <c r="L859" s="392"/>
    </row>
    <row r="860" spans="1:12" ht="15.5" thickTop="1" thickBot="1">
      <c r="A860" s="239"/>
      <c r="B860" s="204"/>
      <c r="C860" s="204"/>
      <c r="D860" s="240"/>
      <c r="E860" s="241"/>
      <c r="F860" s="242"/>
      <c r="G860" s="200"/>
      <c r="H860" s="200"/>
      <c r="I860" s="243"/>
      <c r="J860" s="205"/>
      <c r="K860" s="206"/>
      <c r="L860" s="392"/>
    </row>
    <row r="861" spans="1:12" ht="15.5" thickTop="1" thickBot="1">
      <c r="A861" s="239"/>
      <c r="B861" s="204"/>
      <c r="C861" s="204"/>
      <c r="D861" s="240"/>
      <c r="E861" s="241"/>
      <c r="F861" s="242"/>
      <c r="G861" s="200"/>
      <c r="H861" s="200"/>
      <c r="I861" s="243"/>
      <c r="J861" s="205"/>
      <c r="K861" s="206"/>
      <c r="L861" s="392"/>
    </row>
    <row r="862" spans="1:12" ht="15.5" thickTop="1" thickBot="1">
      <c r="A862" s="239"/>
      <c r="B862" s="204"/>
      <c r="C862" s="204"/>
      <c r="D862" s="240"/>
      <c r="E862" s="241"/>
      <c r="F862" s="242"/>
      <c r="G862" s="200"/>
      <c r="H862" s="200"/>
      <c r="I862" s="243"/>
      <c r="J862" s="205"/>
      <c r="K862" s="206"/>
      <c r="L862" s="392"/>
    </row>
    <row r="863" spans="1:12" ht="15.5" thickTop="1" thickBot="1">
      <c r="A863" s="239"/>
      <c r="B863" s="204"/>
      <c r="C863" s="204"/>
      <c r="D863" s="240"/>
      <c r="E863" s="241"/>
      <c r="F863" s="242"/>
      <c r="G863" s="200"/>
      <c r="H863" s="200"/>
      <c r="I863" s="243"/>
      <c r="J863" s="205"/>
      <c r="K863" s="206"/>
      <c r="L863" s="392"/>
    </row>
    <row r="864" spans="1:12" ht="15.5" thickTop="1" thickBot="1">
      <c r="A864" s="239"/>
      <c r="B864" s="204"/>
      <c r="C864" s="204"/>
      <c r="D864" s="240"/>
      <c r="E864" s="241"/>
      <c r="F864" s="242"/>
      <c r="G864" s="200"/>
      <c r="H864" s="200"/>
      <c r="I864" s="243"/>
      <c r="J864" s="205"/>
      <c r="K864" s="206"/>
      <c r="L864" s="392"/>
    </row>
    <row r="865" spans="1:12" ht="15.5" thickTop="1" thickBot="1">
      <c r="A865" s="239"/>
      <c r="B865" s="204"/>
      <c r="C865" s="204"/>
      <c r="D865" s="240"/>
      <c r="E865" s="241"/>
      <c r="F865" s="242"/>
      <c r="G865" s="200"/>
      <c r="H865" s="200"/>
      <c r="I865" s="243"/>
      <c r="J865" s="205"/>
      <c r="K865" s="206"/>
      <c r="L865" s="392"/>
    </row>
    <row r="866" spans="1:12" ht="15.5" thickTop="1" thickBot="1">
      <c r="A866" s="239"/>
      <c r="B866" s="204"/>
      <c r="C866" s="204"/>
      <c r="D866" s="240"/>
      <c r="E866" s="241"/>
      <c r="F866" s="242"/>
      <c r="G866" s="200"/>
      <c r="H866" s="200"/>
      <c r="I866" s="243"/>
      <c r="J866" s="205"/>
      <c r="K866" s="206"/>
      <c r="L866" s="392"/>
    </row>
    <row r="867" spans="1:12" ht="15.5" thickTop="1" thickBot="1">
      <c r="A867" s="239"/>
      <c r="B867" s="204"/>
      <c r="C867" s="204"/>
      <c r="D867" s="240"/>
      <c r="E867" s="241"/>
      <c r="F867" s="242"/>
      <c r="G867" s="200"/>
      <c r="H867" s="200"/>
      <c r="I867" s="243"/>
      <c r="J867" s="205"/>
      <c r="K867" s="206"/>
      <c r="L867" s="392"/>
    </row>
    <row r="868" spans="1:12" ht="15.5" thickTop="1" thickBot="1">
      <c r="A868" s="239"/>
      <c r="B868" s="204"/>
      <c r="C868" s="204"/>
      <c r="D868" s="240"/>
      <c r="E868" s="241"/>
      <c r="F868" s="242"/>
      <c r="G868" s="200"/>
      <c r="H868" s="200"/>
      <c r="I868" s="243"/>
      <c r="J868" s="205"/>
      <c r="K868" s="206"/>
      <c r="L868" s="392"/>
    </row>
    <row r="869" spans="1:12" ht="15.5" thickTop="1" thickBot="1">
      <c r="A869" s="239"/>
      <c r="B869" s="204"/>
      <c r="C869" s="204"/>
      <c r="D869" s="240"/>
      <c r="E869" s="241"/>
      <c r="F869" s="242"/>
      <c r="G869" s="200"/>
      <c r="H869" s="200"/>
      <c r="I869" s="243"/>
      <c r="J869" s="205"/>
      <c r="K869" s="206"/>
      <c r="L869" s="392"/>
    </row>
    <row r="870" spans="1:12" ht="15.5" thickTop="1" thickBot="1">
      <c r="A870" s="239"/>
      <c r="B870" s="204"/>
      <c r="C870" s="204"/>
      <c r="D870" s="240"/>
      <c r="E870" s="241"/>
      <c r="F870" s="242"/>
      <c r="G870" s="200"/>
      <c r="H870" s="200"/>
      <c r="I870" s="243"/>
      <c r="J870" s="205"/>
      <c r="K870" s="206"/>
      <c r="L870" s="392"/>
    </row>
    <row r="871" spans="1:12" ht="15.5" thickTop="1" thickBot="1">
      <c r="A871" s="239"/>
      <c r="B871" s="204"/>
      <c r="C871" s="204"/>
      <c r="D871" s="240"/>
      <c r="E871" s="241"/>
      <c r="F871" s="242"/>
      <c r="G871" s="200"/>
      <c r="H871" s="200"/>
      <c r="I871" s="243"/>
      <c r="J871" s="205"/>
      <c r="K871" s="206"/>
      <c r="L871" s="392"/>
    </row>
    <row r="872" spans="1:12" ht="15.5" thickTop="1" thickBot="1">
      <c r="A872" s="239"/>
      <c r="B872" s="204"/>
      <c r="C872" s="204"/>
      <c r="D872" s="240"/>
      <c r="E872" s="241"/>
      <c r="F872" s="242"/>
      <c r="G872" s="200"/>
      <c r="H872" s="200"/>
      <c r="I872" s="243"/>
      <c r="J872" s="205"/>
      <c r="K872" s="206"/>
      <c r="L872" s="392"/>
    </row>
    <row r="873" spans="1:12" ht="15.5" thickTop="1" thickBot="1">
      <c r="A873" s="239"/>
      <c r="B873" s="204"/>
      <c r="C873" s="204"/>
      <c r="D873" s="240"/>
      <c r="E873" s="241"/>
      <c r="F873" s="242"/>
      <c r="G873" s="200"/>
      <c r="H873" s="200"/>
      <c r="I873" s="243"/>
      <c r="J873" s="205"/>
      <c r="K873" s="206"/>
      <c r="L873" s="392"/>
    </row>
    <row r="874" spans="1:12" ht="15.5" thickTop="1" thickBot="1">
      <c r="A874" s="239"/>
      <c r="B874" s="204"/>
      <c r="C874" s="204"/>
      <c r="D874" s="240"/>
      <c r="E874" s="241"/>
      <c r="F874" s="242"/>
      <c r="G874" s="200"/>
      <c r="H874" s="200"/>
      <c r="I874" s="243"/>
      <c r="J874" s="205"/>
      <c r="K874" s="206"/>
      <c r="L874" s="392"/>
    </row>
    <row r="875" spans="1:12" ht="15.5" thickTop="1" thickBot="1">
      <c r="A875" s="239"/>
      <c r="B875" s="204"/>
      <c r="C875" s="204"/>
      <c r="D875" s="240"/>
      <c r="E875" s="241"/>
      <c r="F875" s="242"/>
      <c r="G875" s="200"/>
      <c r="H875" s="200"/>
      <c r="I875" s="243"/>
      <c r="J875" s="205"/>
      <c r="K875" s="206"/>
      <c r="L875" s="392"/>
    </row>
    <row r="876" spans="1:12" ht="15.5" thickTop="1" thickBot="1">
      <c r="A876" s="239"/>
      <c r="B876" s="204"/>
      <c r="C876" s="204"/>
      <c r="D876" s="240"/>
      <c r="E876" s="241"/>
      <c r="F876" s="242"/>
      <c r="G876" s="200"/>
      <c r="H876" s="200"/>
      <c r="I876" s="243"/>
      <c r="J876" s="205"/>
      <c r="K876" s="206"/>
      <c r="L876" s="392"/>
    </row>
    <row r="877" spans="1:12" ht="15.5" thickTop="1" thickBot="1">
      <c r="A877" s="239"/>
      <c r="B877" s="204"/>
      <c r="C877" s="204"/>
      <c r="D877" s="240"/>
      <c r="E877" s="241"/>
      <c r="F877" s="242"/>
      <c r="G877" s="200"/>
      <c r="H877" s="200"/>
      <c r="I877" s="243"/>
      <c r="J877" s="205"/>
      <c r="K877" s="206"/>
      <c r="L877" s="392"/>
    </row>
    <row r="878" spans="1:12" ht="15.5" thickTop="1" thickBot="1">
      <c r="A878" s="239"/>
      <c r="B878" s="204"/>
      <c r="C878" s="204"/>
      <c r="D878" s="240"/>
      <c r="E878" s="241"/>
      <c r="F878" s="242"/>
      <c r="G878" s="200"/>
      <c r="H878" s="200"/>
      <c r="I878" s="243"/>
      <c r="J878" s="205"/>
      <c r="K878" s="206"/>
      <c r="L878" s="392"/>
    </row>
    <row r="879" spans="1:12" ht="15.5" thickTop="1" thickBot="1">
      <c r="A879" s="239"/>
      <c r="B879" s="204"/>
      <c r="C879" s="204"/>
      <c r="D879" s="240"/>
      <c r="E879" s="241"/>
      <c r="F879" s="242"/>
      <c r="G879" s="200"/>
      <c r="H879" s="200"/>
      <c r="I879" s="243"/>
      <c r="J879" s="205"/>
      <c r="K879" s="206"/>
      <c r="L879" s="392"/>
    </row>
    <row r="880" spans="1:12" ht="15.5" thickTop="1" thickBot="1">
      <c r="A880" s="239"/>
      <c r="B880" s="204"/>
      <c r="C880" s="204"/>
      <c r="D880" s="240"/>
      <c r="E880" s="241"/>
      <c r="F880" s="242"/>
      <c r="G880" s="200"/>
      <c r="H880" s="200"/>
      <c r="I880" s="243"/>
      <c r="J880" s="205"/>
      <c r="K880" s="206"/>
      <c r="L880" s="392"/>
    </row>
    <row r="881" spans="1:12" ht="15.5" thickTop="1" thickBot="1">
      <c r="A881" s="239"/>
      <c r="B881" s="204"/>
      <c r="C881" s="204"/>
      <c r="D881" s="240"/>
      <c r="E881" s="241"/>
      <c r="F881" s="242"/>
      <c r="G881" s="200"/>
      <c r="H881" s="200"/>
      <c r="I881" s="243"/>
      <c r="J881" s="205"/>
      <c r="K881" s="206"/>
      <c r="L881" s="392"/>
    </row>
    <row r="882" spans="1:12" ht="15.5" thickTop="1" thickBot="1">
      <c r="A882" s="239"/>
      <c r="B882" s="204"/>
      <c r="C882" s="204"/>
      <c r="D882" s="240"/>
      <c r="E882" s="241"/>
      <c r="F882" s="242"/>
      <c r="G882" s="200"/>
      <c r="H882" s="200"/>
      <c r="I882" s="243"/>
      <c r="J882" s="205"/>
      <c r="K882" s="206"/>
      <c r="L882" s="392"/>
    </row>
    <row r="883" spans="1:12" ht="15.5" thickTop="1" thickBot="1">
      <c r="A883" s="239"/>
      <c r="B883" s="204"/>
      <c r="C883" s="204"/>
      <c r="D883" s="240"/>
      <c r="E883" s="241"/>
      <c r="F883" s="242"/>
      <c r="G883" s="200"/>
      <c r="H883" s="200"/>
      <c r="I883" s="243"/>
      <c r="J883" s="205"/>
      <c r="K883" s="206"/>
      <c r="L883" s="392"/>
    </row>
    <row r="884" spans="1:12" ht="15.5" thickTop="1" thickBot="1">
      <c r="A884" s="239"/>
      <c r="B884" s="204"/>
      <c r="C884" s="204"/>
      <c r="D884" s="240"/>
      <c r="E884" s="241"/>
      <c r="F884" s="242"/>
      <c r="G884" s="200"/>
      <c r="H884" s="200"/>
      <c r="I884" s="243"/>
      <c r="J884" s="205"/>
      <c r="K884" s="206"/>
      <c r="L884" s="392"/>
    </row>
    <row r="885" spans="1:12" ht="15.5" thickTop="1" thickBot="1">
      <c r="A885" s="239"/>
      <c r="B885" s="204"/>
      <c r="C885" s="204"/>
      <c r="D885" s="240"/>
      <c r="E885" s="241"/>
      <c r="F885" s="242"/>
      <c r="G885" s="200"/>
      <c r="H885" s="200"/>
      <c r="I885" s="243"/>
      <c r="J885" s="205"/>
      <c r="K885" s="206"/>
      <c r="L885" s="392"/>
    </row>
    <row r="886" spans="1:12" ht="15.5" thickTop="1" thickBot="1">
      <c r="A886" s="239"/>
      <c r="B886" s="204"/>
      <c r="C886" s="204"/>
      <c r="D886" s="240"/>
      <c r="E886" s="241"/>
      <c r="F886" s="242"/>
      <c r="G886" s="200"/>
      <c r="H886" s="200"/>
      <c r="I886" s="243"/>
      <c r="J886" s="205"/>
      <c r="K886" s="206"/>
      <c r="L886" s="392"/>
    </row>
    <row r="887" spans="1:12" ht="15.5" thickTop="1" thickBot="1">
      <c r="A887" s="239"/>
      <c r="B887" s="204"/>
      <c r="C887" s="204"/>
      <c r="D887" s="240"/>
      <c r="E887" s="241"/>
      <c r="F887" s="242"/>
      <c r="G887" s="200"/>
      <c r="H887" s="200"/>
      <c r="I887" s="243"/>
      <c r="J887" s="205"/>
      <c r="K887" s="206"/>
      <c r="L887" s="392"/>
    </row>
    <row r="888" spans="1:12" ht="15.5" thickTop="1" thickBot="1">
      <c r="A888" s="239"/>
      <c r="B888" s="204"/>
      <c r="C888" s="204"/>
      <c r="D888" s="240"/>
      <c r="E888" s="241"/>
      <c r="F888" s="242"/>
      <c r="G888" s="200"/>
      <c r="H888" s="200"/>
      <c r="I888" s="243"/>
      <c r="J888" s="205"/>
      <c r="K888" s="206"/>
      <c r="L888" s="392"/>
    </row>
    <row r="889" spans="1:12" ht="15.5" thickTop="1" thickBot="1">
      <c r="A889" s="239"/>
      <c r="B889" s="204"/>
      <c r="C889" s="204"/>
      <c r="D889" s="240"/>
      <c r="E889" s="241"/>
      <c r="F889" s="242"/>
      <c r="G889" s="200"/>
      <c r="H889" s="200"/>
      <c r="I889" s="243"/>
      <c r="J889" s="205"/>
      <c r="K889" s="206"/>
      <c r="L889" s="392"/>
    </row>
    <row r="890" spans="1:12" ht="15.5" thickTop="1" thickBot="1">
      <c r="A890" s="239"/>
      <c r="B890" s="204"/>
      <c r="C890" s="204"/>
      <c r="D890" s="240"/>
      <c r="E890" s="241"/>
      <c r="F890" s="242"/>
      <c r="G890" s="200"/>
      <c r="H890" s="200"/>
      <c r="I890" s="243"/>
      <c r="J890" s="205"/>
      <c r="K890" s="206"/>
      <c r="L890" s="392"/>
    </row>
    <row r="891" spans="1:12" ht="15.5" thickTop="1" thickBot="1">
      <c r="A891" s="239"/>
      <c r="B891" s="204"/>
      <c r="C891" s="204"/>
      <c r="D891" s="240"/>
      <c r="E891" s="241"/>
      <c r="F891" s="242"/>
      <c r="G891" s="200"/>
      <c r="H891" s="200"/>
      <c r="I891" s="243"/>
      <c r="J891" s="205"/>
      <c r="K891" s="206"/>
      <c r="L891" s="392"/>
    </row>
    <row r="892" spans="1:12" ht="15.5" thickTop="1" thickBot="1">
      <c r="A892" s="239"/>
      <c r="B892" s="204"/>
      <c r="C892" s="204"/>
      <c r="D892" s="240"/>
      <c r="E892" s="241"/>
      <c r="F892" s="242"/>
      <c r="G892" s="200"/>
      <c r="H892" s="200"/>
      <c r="I892" s="243"/>
      <c r="J892" s="205"/>
      <c r="K892" s="206"/>
      <c r="L892" s="392"/>
    </row>
    <row r="893" spans="1:12" ht="15.5" thickTop="1" thickBot="1">
      <c r="A893" s="239"/>
      <c r="B893" s="204"/>
      <c r="C893" s="204"/>
      <c r="D893" s="240"/>
      <c r="E893" s="241"/>
      <c r="F893" s="242"/>
      <c r="G893" s="200"/>
      <c r="H893" s="200"/>
      <c r="I893" s="243"/>
      <c r="J893" s="205"/>
      <c r="K893" s="206"/>
      <c r="L893" s="392"/>
    </row>
    <row r="894" spans="1:12" ht="15.5" thickTop="1" thickBot="1">
      <c r="A894" s="239"/>
      <c r="B894" s="204"/>
      <c r="C894" s="204"/>
      <c r="D894" s="240"/>
      <c r="E894" s="241"/>
      <c r="F894" s="242"/>
      <c r="G894" s="200"/>
      <c r="H894" s="200"/>
      <c r="I894" s="243"/>
      <c r="J894" s="205"/>
      <c r="K894" s="206"/>
      <c r="L894" s="392"/>
    </row>
    <row r="895" spans="1:12" ht="15.5" thickTop="1" thickBot="1">
      <c r="A895" s="239"/>
      <c r="B895" s="204"/>
      <c r="C895" s="204"/>
      <c r="D895" s="240"/>
      <c r="E895" s="241"/>
      <c r="F895" s="242"/>
      <c r="G895" s="200"/>
      <c r="H895" s="200"/>
      <c r="I895" s="243"/>
      <c r="J895" s="205"/>
      <c r="K895" s="206"/>
      <c r="L895" s="392"/>
    </row>
    <row r="896" spans="1:12" ht="15.5" thickTop="1" thickBot="1">
      <c r="A896" s="239"/>
      <c r="B896" s="204"/>
      <c r="C896" s="204"/>
      <c r="D896" s="240"/>
      <c r="E896" s="241"/>
      <c r="F896" s="242"/>
      <c r="G896" s="200"/>
      <c r="H896" s="200"/>
      <c r="I896" s="243"/>
      <c r="J896" s="205"/>
      <c r="K896" s="206"/>
      <c r="L896" s="392"/>
    </row>
    <row r="897" spans="1:12" ht="15.5" thickTop="1" thickBot="1">
      <c r="A897" s="239"/>
      <c r="B897" s="204"/>
      <c r="C897" s="204"/>
      <c r="D897" s="240"/>
      <c r="E897" s="241"/>
      <c r="F897" s="242"/>
      <c r="G897" s="200"/>
      <c r="H897" s="200"/>
      <c r="I897" s="243"/>
      <c r="J897" s="205"/>
      <c r="K897" s="206"/>
      <c r="L897" s="392"/>
    </row>
    <row r="898" spans="1:12" ht="15.5" thickTop="1" thickBot="1">
      <c r="A898" s="239"/>
      <c r="B898" s="204"/>
      <c r="C898" s="204"/>
      <c r="D898" s="240"/>
      <c r="E898" s="241"/>
      <c r="F898" s="242"/>
      <c r="G898" s="200"/>
      <c r="H898" s="200"/>
      <c r="I898" s="243"/>
      <c r="J898" s="205"/>
      <c r="K898" s="206"/>
      <c r="L898" s="392"/>
    </row>
    <row r="899" spans="1:12" ht="15.5" thickTop="1" thickBot="1">
      <c r="A899" s="239"/>
      <c r="B899" s="204"/>
      <c r="C899" s="204"/>
      <c r="D899" s="240"/>
      <c r="E899" s="241"/>
      <c r="F899" s="242"/>
      <c r="G899" s="200"/>
      <c r="H899" s="200"/>
      <c r="I899" s="243"/>
      <c r="J899" s="205"/>
      <c r="K899" s="206"/>
      <c r="L899" s="392"/>
    </row>
    <row r="900" spans="1:12" ht="15.5" thickTop="1" thickBot="1">
      <c r="A900" s="239"/>
      <c r="B900" s="204"/>
      <c r="C900" s="204"/>
      <c r="D900" s="240"/>
      <c r="E900" s="241"/>
      <c r="F900" s="242"/>
      <c r="G900" s="200"/>
      <c r="H900" s="200"/>
      <c r="I900" s="243"/>
      <c r="J900" s="205"/>
      <c r="K900" s="206"/>
      <c r="L900" s="392"/>
    </row>
    <row r="901" spans="1:12" ht="15.5" thickTop="1" thickBot="1">
      <c r="A901" s="239"/>
      <c r="B901" s="204"/>
      <c r="C901" s="204"/>
      <c r="D901" s="240"/>
      <c r="E901" s="241"/>
      <c r="F901" s="242"/>
      <c r="G901" s="200"/>
      <c r="H901" s="200"/>
      <c r="I901" s="243"/>
      <c r="J901" s="205"/>
      <c r="K901" s="206"/>
      <c r="L901" s="392"/>
    </row>
    <row r="902" spans="1:12" ht="15.5" thickTop="1" thickBot="1">
      <c r="A902" s="239"/>
      <c r="B902" s="204"/>
      <c r="C902" s="204"/>
      <c r="D902" s="240"/>
      <c r="E902" s="241"/>
      <c r="F902" s="242"/>
      <c r="G902" s="200"/>
      <c r="H902" s="200"/>
      <c r="I902" s="243"/>
      <c r="J902" s="205"/>
      <c r="K902" s="206"/>
      <c r="L902" s="392"/>
    </row>
    <row r="903" spans="1:12" ht="15.5" thickTop="1" thickBot="1">
      <c r="A903" s="239"/>
      <c r="B903" s="204"/>
      <c r="C903" s="204"/>
      <c r="D903" s="240"/>
      <c r="E903" s="241"/>
      <c r="F903" s="242"/>
      <c r="G903" s="200"/>
      <c r="H903" s="200"/>
      <c r="I903" s="243"/>
      <c r="J903" s="205"/>
      <c r="K903" s="206"/>
      <c r="L903" s="392"/>
    </row>
    <row r="904" spans="1:12" ht="15.5" thickTop="1" thickBot="1">
      <c r="A904" s="239"/>
      <c r="B904" s="204"/>
      <c r="C904" s="204"/>
      <c r="D904" s="240"/>
      <c r="E904" s="241"/>
      <c r="F904" s="242"/>
      <c r="G904" s="200"/>
      <c r="H904" s="200"/>
      <c r="I904" s="243"/>
      <c r="J904" s="205"/>
      <c r="K904" s="206"/>
      <c r="L904" s="392"/>
    </row>
    <row r="905" spans="1:12" ht="15.5" thickTop="1" thickBot="1">
      <c r="A905" s="239"/>
      <c r="B905" s="204"/>
      <c r="C905" s="204"/>
      <c r="D905" s="240"/>
      <c r="E905" s="241"/>
      <c r="F905" s="242"/>
      <c r="G905" s="200"/>
      <c r="H905" s="200"/>
      <c r="I905" s="243"/>
      <c r="J905" s="205"/>
      <c r="K905" s="206"/>
      <c r="L905" s="392"/>
    </row>
    <row r="906" spans="1:12" ht="15.5" thickTop="1" thickBot="1">
      <c r="A906" s="239"/>
      <c r="B906" s="204"/>
      <c r="C906" s="204"/>
      <c r="D906" s="240"/>
      <c r="E906" s="241"/>
      <c r="F906" s="242"/>
      <c r="G906" s="200"/>
      <c r="H906" s="200"/>
      <c r="I906" s="243"/>
      <c r="J906" s="205"/>
      <c r="K906" s="206"/>
      <c r="L906" s="392"/>
    </row>
    <row r="907" spans="1:12" ht="15.5" thickTop="1" thickBot="1">
      <c r="A907" s="239"/>
      <c r="B907" s="204"/>
      <c r="C907" s="204"/>
      <c r="D907" s="240"/>
      <c r="E907" s="241"/>
      <c r="F907" s="242"/>
      <c r="G907" s="200"/>
      <c r="H907" s="200"/>
      <c r="I907" s="243"/>
      <c r="J907" s="205"/>
      <c r="K907" s="206"/>
      <c r="L907" s="392"/>
    </row>
    <row r="908" spans="1:12" ht="15.5" thickTop="1" thickBot="1">
      <c r="A908" s="239"/>
      <c r="B908" s="204"/>
      <c r="C908" s="204"/>
      <c r="D908" s="240"/>
      <c r="E908" s="241"/>
      <c r="F908" s="242"/>
      <c r="G908" s="200"/>
      <c r="H908" s="200"/>
      <c r="I908" s="243"/>
      <c r="J908" s="205"/>
      <c r="K908" s="206"/>
      <c r="L908" s="392"/>
    </row>
    <row r="909" spans="1:12" ht="15.5" thickTop="1" thickBot="1">
      <c r="A909" s="239"/>
      <c r="B909" s="204"/>
      <c r="C909" s="204"/>
      <c r="D909" s="240"/>
      <c r="E909" s="241"/>
      <c r="F909" s="242"/>
      <c r="G909" s="200"/>
      <c r="H909" s="200"/>
      <c r="I909" s="243"/>
      <c r="J909" s="205"/>
      <c r="K909" s="206"/>
      <c r="L909" s="392"/>
    </row>
    <row r="910" spans="1:12" ht="15.5" thickTop="1" thickBot="1">
      <c r="A910" s="239"/>
      <c r="B910" s="204"/>
      <c r="C910" s="204"/>
      <c r="D910" s="240"/>
      <c r="E910" s="241"/>
      <c r="F910" s="242"/>
      <c r="G910" s="200"/>
      <c r="H910" s="200"/>
      <c r="I910" s="243"/>
      <c r="J910" s="205"/>
      <c r="K910" s="206"/>
      <c r="L910" s="392"/>
    </row>
    <row r="911" spans="1:12" ht="15.5" thickTop="1" thickBot="1">
      <c r="A911" s="239"/>
      <c r="B911" s="204"/>
      <c r="C911" s="204"/>
      <c r="D911" s="240"/>
      <c r="E911" s="241"/>
      <c r="F911" s="242"/>
      <c r="G911" s="200"/>
      <c r="H911" s="200"/>
      <c r="I911" s="243"/>
      <c r="J911" s="205"/>
      <c r="K911" s="206"/>
      <c r="L911" s="392"/>
    </row>
    <row r="912" spans="1:12" ht="15.5" thickTop="1" thickBot="1">
      <c r="A912" s="239"/>
      <c r="B912" s="204"/>
      <c r="C912" s="204"/>
      <c r="D912" s="240"/>
      <c r="E912" s="241"/>
      <c r="F912" s="242"/>
      <c r="G912" s="200"/>
      <c r="H912" s="200"/>
      <c r="I912" s="243"/>
      <c r="J912" s="205"/>
      <c r="K912" s="206"/>
      <c r="L912" s="392"/>
    </row>
    <row r="913" spans="1:12" ht="15.5" thickTop="1" thickBot="1">
      <c r="A913" s="239"/>
      <c r="B913" s="204"/>
      <c r="C913" s="204"/>
      <c r="D913" s="240"/>
      <c r="E913" s="241"/>
      <c r="F913" s="242"/>
      <c r="G913" s="200"/>
      <c r="H913" s="200"/>
      <c r="I913" s="243"/>
      <c r="J913" s="205"/>
      <c r="K913" s="206"/>
      <c r="L913" s="392"/>
    </row>
    <row r="914" spans="1:12" ht="15.5" thickTop="1" thickBot="1">
      <c r="A914" s="239"/>
      <c r="B914" s="204"/>
      <c r="C914" s="204"/>
      <c r="D914" s="240"/>
      <c r="E914" s="241"/>
      <c r="F914" s="242"/>
      <c r="G914" s="200"/>
      <c r="H914" s="200"/>
      <c r="I914" s="243"/>
      <c r="J914" s="205"/>
      <c r="K914" s="206"/>
      <c r="L914" s="392"/>
    </row>
    <row r="915" spans="1:12" ht="15.5" thickTop="1" thickBot="1">
      <c r="A915" s="239"/>
      <c r="B915" s="204"/>
      <c r="C915" s="204"/>
      <c r="D915" s="240"/>
      <c r="E915" s="241"/>
      <c r="F915" s="242"/>
      <c r="G915" s="200"/>
      <c r="H915" s="200"/>
      <c r="I915" s="243"/>
      <c r="J915" s="205"/>
      <c r="K915" s="206"/>
      <c r="L915" s="392"/>
    </row>
    <row r="916" spans="1:12" ht="15.5" thickTop="1" thickBot="1">
      <c r="A916" s="239"/>
      <c r="B916" s="204"/>
      <c r="C916" s="204"/>
      <c r="D916" s="240"/>
      <c r="E916" s="241"/>
      <c r="F916" s="242"/>
      <c r="G916" s="200"/>
      <c r="H916" s="200"/>
      <c r="I916" s="243"/>
      <c r="J916" s="205"/>
      <c r="K916" s="206"/>
      <c r="L916" s="392"/>
    </row>
    <row r="917" spans="1:12" ht="15.5" thickTop="1" thickBot="1">
      <c r="A917" s="239"/>
      <c r="B917" s="204"/>
      <c r="C917" s="204"/>
      <c r="D917" s="240"/>
      <c r="E917" s="241"/>
      <c r="F917" s="242"/>
      <c r="G917" s="200"/>
      <c r="H917" s="200"/>
      <c r="I917" s="243"/>
      <c r="J917" s="205"/>
      <c r="K917" s="206"/>
      <c r="L917" s="392"/>
    </row>
    <row r="918" spans="1:12" ht="15.5" thickTop="1" thickBot="1">
      <c r="A918" s="239"/>
      <c r="B918" s="204"/>
      <c r="C918" s="204"/>
      <c r="D918" s="240"/>
      <c r="E918" s="241"/>
      <c r="F918" s="242"/>
      <c r="G918" s="200"/>
      <c r="H918" s="200"/>
      <c r="I918" s="243"/>
      <c r="J918" s="205"/>
      <c r="K918" s="206"/>
      <c r="L918" s="392"/>
    </row>
    <row r="919" spans="1:12" ht="15.5" thickTop="1" thickBot="1">
      <c r="A919" s="239"/>
      <c r="B919" s="204"/>
      <c r="C919" s="204"/>
      <c r="D919" s="240"/>
      <c r="E919" s="241"/>
      <c r="F919" s="242"/>
      <c r="G919" s="200"/>
      <c r="H919" s="200"/>
      <c r="I919" s="243"/>
      <c r="J919" s="205"/>
      <c r="K919" s="206"/>
      <c r="L919" s="392"/>
    </row>
    <row r="920" spans="1:12" ht="15.5" thickTop="1" thickBot="1">
      <c r="A920" s="239"/>
      <c r="B920" s="204"/>
      <c r="C920" s="204"/>
      <c r="D920" s="240"/>
      <c r="E920" s="241"/>
      <c r="F920" s="242"/>
      <c r="G920" s="200"/>
      <c r="H920" s="200"/>
      <c r="I920" s="243"/>
      <c r="J920" s="205"/>
      <c r="K920" s="206"/>
      <c r="L920" s="392"/>
    </row>
    <row r="921" spans="1:12" ht="15.5" thickTop="1" thickBot="1">
      <c r="A921" s="239"/>
      <c r="B921" s="204"/>
      <c r="C921" s="204"/>
      <c r="D921" s="240"/>
      <c r="E921" s="241"/>
      <c r="F921" s="242"/>
      <c r="G921" s="200"/>
      <c r="H921" s="200"/>
      <c r="I921" s="243"/>
      <c r="J921" s="205"/>
      <c r="K921" s="206"/>
      <c r="L921" s="392"/>
    </row>
    <row r="922" spans="1:12" ht="15.5" thickTop="1" thickBot="1">
      <c r="A922" s="239"/>
      <c r="B922" s="204"/>
      <c r="C922" s="204"/>
      <c r="D922" s="240"/>
      <c r="E922" s="241"/>
      <c r="F922" s="242"/>
      <c r="G922" s="200"/>
      <c r="H922" s="200"/>
      <c r="I922" s="243"/>
      <c r="J922" s="205"/>
      <c r="K922" s="206"/>
      <c r="L922" s="392"/>
    </row>
    <row r="923" spans="1:12" ht="15.5" thickTop="1" thickBot="1">
      <c r="A923" s="239"/>
      <c r="B923" s="204"/>
      <c r="C923" s="204"/>
      <c r="D923" s="240"/>
      <c r="E923" s="241"/>
      <c r="F923" s="242"/>
      <c r="G923" s="200"/>
      <c r="H923" s="200"/>
      <c r="I923" s="243"/>
      <c r="J923" s="205"/>
      <c r="K923" s="206"/>
      <c r="L923" s="392"/>
    </row>
    <row r="924" spans="1:12" ht="15.5" thickTop="1" thickBot="1">
      <c r="A924" s="239"/>
      <c r="B924" s="204"/>
      <c r="C924" s="204"/>
      <c r="D924" s="240"/>
      <c r="E924" s="241"/>
      <c r="F924" s="242"/>
      <c r="G924" s="200"/>
      <c r="H924" s="200"/>
      <c r="I924" s="243"/>
      <c r="J924" s="205"/>
      <c r="K924" s="206"/>
      <c r="L924" s="392"/>
    </row>
    <row r="925" spans="1:12" ht="15.5" thickTop="1" thickBot="1">
      <c r="A925" s="239"/>
      <c r="B925" s="204"/>
      <c r="C925" s="204"/>
      <c r="D925" s="240"/>
      <c r="E925" s="241"/>
      <c r="F925" s="242"/>
      <c r="G925" s="200"/>
      <c r="H925" s="200"/>
      <c r="I925" s="243"/>
      <c r="J925" s="205"/>
      <c r="K925" s="206"/>
      <c r="L925" s="392"/>
    </row>
    <row r="926" spans="1:12" ht="15.5" thickTop="1" thickBot="1">
      <c r="A926" s="239"/>
      <c r="B926" s="204"/>
      <c r="C926" s="204"/>
      <c r="D926" s="240"/>
      <c r="E926" s="241"/>
      <c r="F926" s="242"/>
      <c r="G926" s="200"/>
      <c r="H926" s="200"/>
      <c r="I926" s="243"/>
      <c r="J926" s="205"/>
      <c r="K926" s="206"/>
      <c r="L926" s="392"/>
    </row>
    <row r="927" spans="1:12" ht="15.5" thickTop="1" thickBot="1">
      <c r="A927" s="239"/>
      <c r="B927" s="204"/>
      <c r="C927" s="204"/>
      <c r="D927" s="240"/>
      <c r="E927" s="241"/>
      <c r="F927" s="242"/>
      <c r="G927" s="200"/>
      <c r="H927" s="200"/>
      <c r="I927" s="243"/>
      <c r="J927" s="205"/>
      <c r="K927" s="206"/>
      <c r="L927" s="392"/>
    </row>
    <row r="928" spans="1:12" ht="15.5" thickTop="1" thickBot="1">
      <c r="A928" s="239"/>
      <c r="B928" s="204"/>
      <c r="C928" s="204"/>
      <c r="D928" s="240"/>
      <c r="E928" s="241"/>
      <c r="F928" s="242"/>
      <c r="G928" s="200"/>
      <c r="H928" s="200"/>
      <c r="I928" s="243"/>
      <c r="J928" s="205"/>
      <c r="K928" s="206"/>
      <c r="L928" s="392"/>
    </row>
    <row r="929" spans="1:12" ht="15.5" thickTop="1" thickBot="1">
      <c r="A929" s="239"/>
      <c r="B929" s="204"/>
      <c r="C929" s="204"/>
      <c r="D929" s="240"/>
      <c r="E929" s="241"/>
      <c r="F929" s="242"/>
      <c r="G929" s="200"/>
      <c r="H929" s="200"/>
      <c r="I929" s="243"/>
      <c r="J929" s="205"/>
      <c r="K929" s="206"/>
      <c r="L929" s="392"/>
    </row>
    <row r="930" spans="1:12" ht="15.5" thickTop="1" thickBot="1">
      <c r="A930" s="239"/>
      <c r="B930" s="204"/>
      <c r="C930" s="204"/>
      <c r="D930" s="240"/>
      <c r="E930" s="241"/>
      <c r="F930" s="242"/>
      <c r="G930" s="200"/>
      <c r="H930" s="200"/>
      <c r="I930" s="243"/>
      <c r="J930" s="205"/>
      <c r="K930" s="206"/>
      <c r="L930" s="392"/>
    </row>
    <row r="931" spans="1:12" ht="15.5" thickTop="1" thickBot="1">
      <c r="A931" s="239"/>
      <c r="B931" s="204"/>
      <c r="C931" s="204"/>
      <c r="D931" s="240"/>
      <c r="E931" s="241"/>
      <c r="F931" s="242"/>
      <c r="G931" s="200"/>
      <c r="H931" s="200"/>
      <c r="I931" s="243"/>
      <c r="J931" s="205"/>
      <c r="K931" s="206"/>
      <c r="L931" s="392"/>
    </row>
    <row r="932" spans="1:12" ht="15.5" thickTop="1" thickBot="1">
      <c r="A932" s="239"/>
      <c r="B932" s="204"/>
      <c r="C932" s="204"/>
      <c r="D932" s="240"/>
      <c r="E932" s="241"/>
      <c r="F932" s="242"/>
      <c r="G932" s="200"/>
      <c r="H932" s="200"/>
      <c r="I932" s="243"/>
      <c r="J932" s="205"/>
      <c r="K932" s="206"/>
      <c r="L932" s="392"/>
    </row>
    <row r="933" spans="1:12" ht="15.5" thickTop="1" thickBot="1">
      <c r="A933" s="239"/>
      <c r="B933" s="204"/>
      <c r="C933" s="204"/>
      <c r="D933" s="240"/>
      <c r="E933" s="241"/>
      <c r="F933" s="242"/>
      <c r="G933" s="200"/>
      <c r="H933" s="200"/>
      <c r="I933" s="243"/>
      <c r="J933" s="205"/>
      <c r="K933" s="206"/>
      <c r="L933" s="392"/>
    </row>
    <row r="934" spans="1:12" ht="15.5" thickTop="1" thickBot="1">
      <c r="A934" s="239"/>
      <c r="B934" s="204"/>
      <c r="C934" s="204"/>
      <c r="D934" s="240"/>
      <c r="E934" s="241"/>
      <c r="F934" s="242"/>
      <c r="G934" s="200"/>
      <c r="H934" s="200"/>
      <c r="I934" s="243"/>
      <c r="J934" s="205"/>
      <c r="K934" s="206"/>
      <c r="L934" s="392"/>
    </row>
    <row r="935" spans="1:12" ht="15.5" thickTop="1" thickBot="1">
      <c r="A935" s="239"/>
      <c r="B935" s="204"/>
      <c r="C935" s="204"/>
      <c r="D935" s="240"/>
      <c r="E935" s="241"/>
      <c r="F935" s="242"/>
      <c r="G935" s="200"/>
      <c r="H935" s="200"/>
      <c r="I935" s="243"/>
      <c r="J935" s="205"/>
      <c r="K935" s="206"/>
      <c r="L935" s="392"/>
    </row>
    <row r="936" spans="1:12" ht="15.5" thickTop="1" thickBot="1">
      <c r="A936" s="239"/>
      <c r="B936" s="204"/>
      <c r="C936" s="204"/>
      <c r="D936" s="240"/>
      <c r="E936" s="241"/>
      <c r="F936" s="242"/>
      <c r="G936" s="200"/>
      <c r="H936" s="200"/>
      <c r="I936" s="243"/>
      <c r="J936" s="205"/>
      <c r="K936" s="206"/>
      <c r="L936" s="392"/>
    </row>
    <row r="937" spans="1:12" ht="15.5" thickTop="1" thickBot="1">
      <c r="A937" s="239"/>
      <c r="B937" s="204"/>
      <c r="C937" s="204"/>
      <c r="D937" s="240"/>
      <c r="E937" s="241"/>
      <c r="F937" s="242"/>
      <c r="G937" s="200"/>
      <c r="H937" s="200"/>
      <c r="I937" s="243"/>
      <c r="J937" s="205"/>
      <c r="K937" s="206"/>
      <c r="L937" s="392"/>
    </row>
    <row r="938" spans="1:12" ht="15.5" thickTop="1" thickBot="1">
      <c r="A938" s="239"/>
      <c r="B938" s="204"/>
      <c r="C938" s="204"/>
      <c r="D938" s="240"/>
      <c r="E938" s="241"/>
      <c r="F938" s="242"/>
      <c r="G938" s="200"/>
      <c r="H938" s="200"/>
      <c r="I938" s="243"/>
      <c r="J938" s="205"/>
      <c r="K938" s="206"/>
      <c r="L938" s="392"/>
    </row>
    <row r="939" spans="1:12" ht="15.5" thickTop="1" thickBot="1">
      <c r="A939" s="239"/>
      <c r="B939" s="204"/>
      <c r="C939" s="204"/>
      <c r="D939" s="240"/>
      <c r="E939" s="241"/>
      <c r="F939" s="242"/>
      <c r="G939" s="200"/>
      <c r="H939" s="200"/>
      <c r="I939" s="243"/>
      <c r="J939" s="205"/>
      <c r="K939" s="206"/>
      <c r="L939" s="392"/>
    </row>
    <row r="940" spans="1:12" ht="15.5" thickTop="1" thickBot="1">
      <c r="A940" s="239"/>
      <c r="B940" s="204"/>
      <c r="C940" s="204"/>
      <c r="D940" s="240"/>
      <c r="E940" s="241"/>
      <c r="F940" s="242"/>
      <c r="G940" s="200"/>
      <c r="H940" s="200"/>
      <c r="I940" s="243"/>
      <c r="J940" s="205"/>
      <c r="K940" s="206"/>
      <c r="L940" s="392"/>
    </row>
    <row r="941" spans="1:12" ht="15.5" thickTop="1" thickBot="1">
      <c r="A941" s="239"/>
      <c r="B941" s="204"/>
      <c r="C941" s="204"/>
      <c r="D941" s="240"/>
      <c r="E941" s="241"/>
      <c r="F941" s="242"/>
      <c r="G941" s="200"/>
      <c r="H941" s="200"/>
      <c r="I941" s="243"/>
      <c r="J941" s="205"/>
      <c r="K941" s="206"/>
      <c r="L941" s="392"/>
    </row>
    <row r="942" spans="1:12" ht="15.5" thickTop="1" thickBot="1">
      <c r="A942" s="239"/>
      <c r="B942" s="204"/>
      <c r="C942" s="204"/>
      <c r="D942" s="240"/>
      <c r="E942" s="241"/>
      <c r="F942" s="242"/>
      <c r="G942" s="200"/>
      <c r="H942" s="200"/>
      <c r="I942" s="243"/>
      <c r="J942" s="205"/>
      <c r="K942" s="206"/>
      <c r="L942" s="392"/>
    </row>
    <row r="943" spans="1:12" ht="15.5" thickTop="1" thickBot="1">
      <c r="A943" s="239"/>
      <c r="B943" s="204"/>
      <c r="C943" s="204"/>
      <c r="D943" s="240"/>
      <c r="E943" s="241"/>
      <c r="F943" s="242"/>
      <c r="G943" s="200"/>
      <c r="H943" s="200"/>
      <c r="I943" s="243"/>
      <c r="J943" s="205"/>
      <c r="K943" s="206"/>
      <c r="L943" s="392"/>
    </row>
    <row r="944" spans="1:12" ht="15.5" thickTop="1" thickBot="1">
      <c r="A944" s="239"/>
      <c r="B944" s="204"/>
      <c r="C944" s="204"/>
      <c r="D944" s="240"/>
      <c r="E944" s="241"/>
      <c r="F944" s="242"/>
      <c r="G944" s="200"/>
      <c r="H944" s="200"/>
      <c r="I944" s="243"/>
      <c r="J944" s="205"/>
      <c r="K944" s="206"/>
      <c r="L944" s="392"/>
    </row>
    <row r="945" spans="1:12" ht="15.5" thickTop="1" thickBot="1">
      <c r="A945" s="239"/>
      <c r="B945" s="204"/>
      <c r="C945" s="204"/>
      <c r="D945" s="240"/>
      <c r="E945" s="241"/>
      <c r="F945" s="242"/>
      <c r="G945" s="200"/>
      <c r="H945" s="200"/>
      <c r="I945" s="243"/>
      <c r="J945" s="205"/>
      <c r="K945" s="206"/>
      <c r="L945" s="392"/>
    </row>
    <row r="946" spans="1:12" ht="15.5" thickTop="1" thickBot="1">
      <c r="A946" s="239"/>
      <c r="B946" s="204"/>
      <c r="C946" s="204"/>
      <c r="D946" s="240"/>
      <c r="E946" s="241"/>
      <c r="F946" s="242"/>
      <c r="G946" s="200"/>
      <c r="H946" s="200"/>
      <c r="I946" s="243"/>
      <c r="J946" s="205"/>
      <c r="K946" s="206"/>
      <c r="L946" s="392"/>
    </row>
    <row r="947" spans="1:12" ht="15.5" thickTop="1" thickBot="1">
      <c r="A947" s="239"/>
      <c r="B947" s="204"/>
      <c r="C947" s="204"/>
      <c r="D947" s="240"/>
      <c r="E947" s="241"/>
      <c r="F947" s="242"/>
      <c r="G947" s="200"/>
      <c r="H947" s="200"/>
      <c r="I947" s="243"/>
      <c r="J947" s="205"/>
      <c r="K947" s="206"/>
      <c r="L947" s="392"/>
    </row>
    <row r="948" spans="1:12" ht="15.5" thickTop="1" thickBot="1">
      <c r="A948" s="239"/>
      <c r="B948" s="204"/>
      <c r="C948" s="204"/>
      <c r="D948" s="240"/>
      <c r="E948" s="241"/>
      <c r="F948" s="242"/>
      <c r="G948" s="200"/>
      <c r="H948" s="200"/>
      <c r="I948" s="243"/>
      <c r="J948" s="205"/>
      <c r="K948" s="206"/>
      <c r="L948" s="392"/>
    </row>
    <row r="949" spans="1:12" ht="15.5" thickTop="1" thickBot="1">
      <c r="A949" s="239"/>
      <c r="B949" s="204"/>
      <c r="C949" s="204"/>
      <c r="D949" s="240"/>
      <c r="E949" s="241"/>
      <c r="F949" s="242"/>
      <c r="G949" s="200"/>
      <c r="H949" s="200"/>
      <c r="I949" s="243"/>
      <c r="J949" s="205"/>
      <c r="K949" s="206"/>
      <c r="L949" s="392"/>
    </row>
    <row r="950" spans="1:12" ht="15.5" thickTop="1" thickBot="1">
      <c r="A950" s="239"/>
      <c r="B950" s="204"/>
      <c r="C950" s="204"/>
      <c r="D950" s="240"/>
      <c r="E950" s="241"/>
      <c r="F950" s="242"/>
      <c r="G950" s="200"/>
      <c r="H950" s="200"/>
      <c r="I950" s="243"/>
      <c r="J950" s="205"/>
      <c r="K950" s="206"/>
      <c r="L950" s="392"/>
    </row>
    <row r="951" spans="1:12" ht="15.5" thickTop="1" thickBot="1">
      <c r="A951" s="239"/>
      <c r="B951" s="204"/>
      <c r="C951" s="204"/>
      <c r="D951" s="240"/>
      <c r="E951" s="241"/>
      <c r="F951" s="242"/>
      <c r="G951" s="200"/>
      <c r="H951" s="200"/>
      <c r="I951" s="243"/>
      <c r="J951" s="205"/>
      <c r="K951" s="206"/>
      <c r="L951" s="392"/>
    </row>
    <row r="952" spans="1:12" ht="15.5" thickTop="1" thickBot="1">
      <c r="A952" s="239"/>
      <c r="B952" s="204"/>
      <c r="C952" s="204"/>
      <c r="D952" s="240"/>
      <c r="E952" s="241"/>
      <c r="F952" s="242"/>
      <c r="G952" s="200"/>
      <c r="H952" s="200"/>
      <c r="I952" s="243"/>
      <c r="J952" s="205"/>
      <c r="K952" s="206"/>
      <c r="L952" s="392"/>
    </row>
    <row r="953" spans="1:12" ht="15.5" thickTop="1" thickBot="1">
      <c r="A953" s="239"/>
      <c r="B953" s="204"/>
      <c r="C953" s="204"/>
      <c r="D953" s="240"/>
      <c r="E953" s="241"/>
      <c r="F953" s="242"/>
      <c r="G953" s="200"/>
      <c r="H953" s="200"/>
      <c r="I953" s="243"/>
      <c r="J953" s="205"/>
      <c r="K953" s="206"/>
      <c r="L953" s="392"/>
    </row>
    <row r="954" spans="1:12" ht="15.5" thickTop="1" thickBot="1">
      <c r="A954" s="239"/>
      <c r="B954" s="204"/>
      <c r="C954" s="204"/>
      <c r="D954" s="240"/>
      <c r="E954" s="241"/>
      <c r="F954" s="242"/>
      <c r="G954" s="200"/>
      <c r="H954" s="200"/>
      <c r="I954" s="243"/>
      <c r="J954" s="205"/>
      <c r="K954" s="206"/>
      <c r="L954" s="392"/>
    </row>
    <row r="955" spans="1:12" ht="15.5" thickTop="1" thickBot="1">
      <c r="A955" s="239"/>
      <c r="B955" s="204"/>
      <c r="C955" s="204"/>
      <c r="D955" s="240"/>
      <c r="E955" s="241"/>
      <c r="F955" s="242"/>
      <c r="G955" s="200"/>
      <c r="H955" s="200"/>
      <c r="I955" s="243"/>
      <c r="J955" s="205"/>
      <c r="K955" s="206"/>
      <c r="L955" s="392"/>
    </row>
    <row r="956" spans="1:12" ht="15.5" thickTop="1" thickBot="1">
      <c r="A956" s="239"/>
      <c r="B956" s="204"/>
      <c r="C956" s="204"/>
      <c r="D956" s="240"/>
      <c r="E956" s="241"/>
      <c r="F956" s="242"/>
      <c r="G956" s="200"/>
      <c r="H956" s="200"/>
      <c r="I956" s="243"/>
      <c r="J956" s="205"/>
      <c r="K956" s="206"/>
      <c r="L956" s="392"/>
    </row>
    <row r="957" spans="1:12" ht="15.5" thickTop="1" thickBot="1">
      <c r="A957" s="239"/>
      <c r="B957" s="204"/>
      <c r="C957" s="204"/>
      <c r="D957" s="240"/>
      <c r="E957" s="241"/>
      <c r="F957" s="242"/>
      <c r="G957" s="200"/>
      <c r="H957" s="200"/>
      <c r="I957" s="243"/>
      <c r="J957" s="205"/>
      <c r="K957" s="206"/>
      <c r="L957" s="392"/>
    </row>
    <row r="958" spans="1:12" ht="15.5" thickTop="1" thickBot="1">
      <c r="A958" s="239"/>
      <c r="B958" s="204"/>
      <c r="C958" s="204"/>
      <c r="D958" s="240"/>
      <c r="E958" s="241"/>
      <c r="F958" s="242"/>
      <c r="G958" s="200"/>
      <c r="H958" s="200"/>
      <c r="I958" s="243"/>
      <c r="J958" s="205"/>
      <c r="K958" s="206"/>
      <c r="L958" s="392"/>
    </row>
    <row r="959" spans="1:12" ht="15.5" thickTop="1" thickBot="1">
      <c r="A959" s="239"/>
      <c r="B959" s="204"/>
      <c r="C959" s="204"/>
      <c r="D959" s="240"/>
      <c r="E959" s="241"/>
      <c r="F959" s="242"/>
      <c r="G959" s="200"/>
      <c r="H959" s="200"/>
      <c r="I959" s="243"/>
      <c r="J959" s="205"/>
      <c r="K959" s="206"/>
      <c r="L959" s="392"/>
    </row>
    <row r="960" spans="1:12" ht="15.5" thickTop="1" thickBot="1">
      <c r="A960" s="239"/>
      <c r="B960" s="204"/>
      <c r="C960" s="204"/>
      <c r="D960" s="240"/>
      <c r="E960" s="241"/>
      <c r="F960" s="242"/>
      <c r="G960" s="200"/>
      <c r="H960" s="200"/>
      <c r="I960" s="243"/>
      <c r="J960" s="205"/>
      <c r="K960" s="206"/>
      <c r="L960" s="392"/>
    </row>
    <row r="961" spans="1:12" ht="15.5" thickTop="1" thickBot="1">
      <c r="A961" s="239"/>
      <c r="B961" s="204"/>
      <c r="C961" s="204"/>
      <c r="D961" s="240"/>
      <c r="E961" s="241"/>
      <c r="F961" s="242"/>
      <c r="G961" s="200"/>
      <c r="H961" s="200"/>
      <c r="I961" s="243"/>
      <c r="J961" s="205"/>
      <c r="K961" s="206"/>
      <c r="L961" s="392"/>
    </row>
    <row r="962" spans="1:12" ht="15.5" thickTop="1" thickBot="1">
      <c r="A962" s="239"/>
      <c r="B962" s="204"/>
      <c r="C962" s="204"/>
      <c r="D962" s="240"/>
      <c r="E962" s="241"/>
      <c r="F962" s="242"/>
      <c r="G962" s="200"/>
      <c r="H962" s="200"/>
      <c r="I962" s="243"/>
      <c r="J962" s="205"/>
      <c r="K962" s="206"/>
      <c r="L962" s="392"/>
    </row>
    <row r="963" spans="1:12" ht="15.5" thickTop="1" thickBot="1">
      <c r="A963" s="239"/>
      <c r="B963" s="204"/>
      <c r="C963" s="204"/>
      <c r="D963" s="240"/>
      <c r="E963" s="241"/>
      <c r="F963" s="242"/>
      <c r="G963" s="200"/>
      <c r="H963" s="200"/>
      <c r="I963" s="243"/>
      <c r="J963" s="205"/>
      <c r="K963" s="206"/>
      <c r="L963" s="392"/>
    </row>
    <row r="964" spans="1:12" ht="15.5" thickTop="1" thickBot="1">
      <c r="A964" s="239"/>
      <c r="B964" s="204"/>
      <c r="C964" s="204"/>
      <c r="D964" s="240"/>
      <c r="E964" s="241"/>
      <c r="F964" s="242"/>
      <c r="G964" s="200"/>
      <c r="H964" s="200"/>
      <c r="I964" s="243"/>
      <c r="J964" s="205"/>
      <c r="K964" s="206"/>
      <c r="L964" s="392"/>
    </row>
    <row r="965" spans="1:12" ht="15.5" thickTop="1" thickBot="1">
      <c r="A965" s="239"/>
      <c r="B965" s="204"/>
      <c r="C965" s="204"/>
      <c r="D965" s="240"/>
      <c r="E965" s="241"/>
      <c r="F965" s="242"/>
      <c r="G965" s="200"/>
      <c r="H965" s="200"/>
      <c r="I965" s="243"/>
      <c r="J965" s="205"/>
      <c r="K965" s="206"/>
      <c r="L965" s="392"/>
    </row>
    <row r="966" spans="1:12" ht="15.5" thickTop="1" thickBot="1">
      <c r="A966" s="239"/>
      <c r="B966" s="204"/>
      <c r="C966" s="204"/>
      <c r="D966" s="240"/>
      <c r="E966" s="241"/>
      <c r="F966" s="242"/>
      <c r="G966" s="200"/>
      <c r="H966" s="200"/>
      <c r="I966" s="243"/>
      <c r="J966" s="205"/>
      <c r="K966" s="206"/>
      <c r="L966" s="392"/>
    </row>
    <row r="967" spans="1:12" ht="15.5" thickTop="1" thickBot="1">
      <c r="A967" s="239"/>
      <c r="B967" s="204"/>
      <c r="C967" s="204"/>
      <c r="D967" s="240"/>
      <c r="E967" s="241"/>
      <c r="F967" s="242"/>
      <c r="G967" s="200"/>
      <c r="H967" s="200"/>
      <c r="I967" s="243"/>
      <c r="J967" s="205"/>
      <c r="K967" s="206"/>
      <c r="L967" s="392"/>
    </row>
    <row r="968" spans="1:12" ht="15.5" thickTop="1" thickBot="1">
      <c r="A968" s="239"/>
      <c r="B968" s="204"/>
      <c r="C968" s="204"/>
      <c r="D968" s="240"/>
      <c r="E968" s="241"/>
      <c r="F968" s="242"/>
      <c r="G968" s="200"/>
      <c r="H968" s="200"/>
      <c r="I968" s="243"/>
      <c r="J968" s="205"/>
      <c r="K968" s="206"/>
      <c r="L968" s="392"/>
    </row>
    <row r="969" spans="1:12" ht="15.5" thickTop="1" thickBot="1">
      <c r="A969" s="239"/>
      <c r="B969" s="204"/>
      <c r="C969" s="204"/>
      <c r="D969" s="240"/>
      <c r="E969" s="241"/>
      <c r="F969" s="242"/>
      <c r="G969" s="200"/>
      <c r="H969" s="200"/>
      <c r="I969" s="243"/>
      <c r="J969" s="205"/>
      <c r="K969" s="206"/>
      <c r="L969" s="392"/>
    </row>
    <row r="970" spans="1:12" ht="15.5" thickTop="1" thickBot="1">
      <c r="A970" s="239"/>
      <c r="B970" s="204"/>
      <c r="C970" s="204"/>
      <c r="D970" s="240"/>
      <c r="E970" s="241"/>
      <c r="F970" s="242"/>
      <c r="G970" s="200"/>
      <c r="H970" s="200"/>
      <c r="I970" s="243"/>
      <c r="J970" s="205"/>
      <c r="K970" s="206"/>
      <c r="L970" s="392"/>
    </row>
    <row r="971" spans="1:12" ht="15.5" thickTop="1" thickBot="1">
      <c r="A971" s="239"/>
      <c r="B971" s="204"/>
      <c r="C971" s="204"/>
      <c r="D971" s="240"/>
      <c r="E971" s="241"/>
      <c r="F971" s="242"/>
      <c r="G971" s="200"/>
      <c r="H971" s="200"/>
      <c r="I971" s="243"/>
      <c r="J971" s="205"/>
      <c r="K971" s="206"/>
      <c r="L971" s="392"/>
    </row>
    <row r="972" spans="1:12" ht="15.5" thickTop="1" thickBot="1">
      <c r="A972" s="239"/>
      <c r="B972" s="204"/>
      <c r="C972" s="204"/>
      <c r="D972" s="240"/>
      <c r="E972" s="241"/>
      <c r="F972" s="242"/>
      <c r="G972" s="200"/>
      <c r="H972" s="200"/>
      <c r="I972" s="243"/>
      <c r="J972" s="205"/>
      <c r="K972" s="206"/>
      <c r="L972" s="392"/>
    </row>
    <row r="973" spans="1:12" ht="15.5" thickTop="1" thickBot="1">
      <c r="A973" s="239"/>
      <c r="B973" s="204"/>
      <c r="C973" s="204"/>
      <c r="D973" s="240"/>
      <c r="E973" s="241"/>
      <c r="F973" s="242"/>
      <c r="G973" s="200"/>
      <c r="H973" s="200"/>
      <c r="I973" s="243"/>
      <c r="J973" s="205"/>
      <c r="K973" s="206"/>
      <c r="L973" s="392"/>
    </row>
    <row r="974" spans="1:12" ht="15.5" thickTop="1" thickBot="1">
      <c r="A974" s="239"/>
      <c r="B974" s="204"/>
      <c r="C974" s="204"/>
      <c r="D974" s="240"/>
      <c r="E974" s="241"/>
      <c r="F974" s="242"/>
      <c r="G974" s="200"/>
      <c r="H974" s="200"/>
      <c r="I974" s="243"/>
      <c r="J974" s="205"/>
      <c r="K974" s="206"/>
      <c r="L974" s="392"/>
    </row>
    <row r="975" spans="1:12" ht="15.5" thickTop="1" thickBot="1">
      <c r="A975" s="239"/>
      <c r="B975" s="204"/>
      <c r="C975" s="204"/>
      <c r="D975" s="240"/>
      <c r="E975" s="241"/>
      <c r="F975" s="242"/>
      <c r="G975" s="200"/>
      <c r="H975" s="200"/>
      <c r="I975" s="243"/>
      <c r="J975" s="205"/>
      <c r="K975" s="206"/>
      <c r="L975" s="392"/>
    </row>
    <row r="976" spans="1:12" ht="15.5" thickTop="1" thickBot="1">
      <c r="A976" s="239"/>
      <c r="B976" s="204"/>
      <c r="C976" s="204"/>
      <c r="D976" s="240"/>
      <c r="E976" s="241"/>
      <c r="F976" s="242"/>
      <c r="G976" s="200"/>
      <c r="H976" s="200"/>
      <c r="I976" s="243"/>
      <c r="J976" s="205"/>
      <c r="K976" s="206"/>
      <c r="L976" s="392"/>
    </row>
    <row r="977" spans="1:12" ht="15.5" thickTop="1" thickBot="1">
      <c r="A977" s="239"/>
      <c r="B977" s="204"/>
      <c r="C977" s="204"/>
      <c r="D977" s="240"/>
      <c r="E977" s="241"/>
      <c r="F977" s="242"/>
      <c r="G977" s="200"/>
      <c r="H977" s="200"/>
      <c r="I977" s="243"/>
      <c r="J977" s="205"/>
      <c r="K977" s="206"/>
      <c r="L977" s="392"/>
    </row>
    <row r="978" spans="1:12" ht="15.5" thickTop="1" thickBot="1">
      <c r="A978" s="239"/>
      <c r="B978" s="204"/>
      <c r="C978" s="204"/>
      <c r="D978" s="240"/>
      <c r="E978" s="241"/>
      <c r="F978" s="242"/>
      <c r="G978" s="200"/>
      <c r="H978" s="200"/>
      <c r="I978" s="243"/>
      <c r="J978" s="205"/>
      <c r="K978" s="206"/>
      <c r="L978" s="392"/>
    </row>
    <row r="979" spans="1:12" ht="15.5" thickTop="1" thickBot="1">
      <c r="A979" s="239"/>
      <c r="B979" s="204"/>
      <c r="C979" s="204"/>
      <c r="D979" s="240"/>
      <c r="E979" s="241"/>
      <c r="F979" s="242"/>
      <c r="G979" s="200"/>
      <c r="H979" s="200"/>
      <c r="I979" s="243"/>
      <c r="J979" s="205"/>
      <c r="K979" s="206"/>
      <c r="L979" s="392"/>
    </row>
    <row r="980" spans="1:12" ht="15.5" thickTop="1" thickBot="1">
      <c r="A980" s="239"/>
      <c r="B980" s="204"/>
      <c r="C980" s="204"/>
      <c r="D980" s="240"/>
      <c r="E980" s="241"/>
      <c r="F980" s="242"/>
      <c r="G980" s="200"/>
      <c r="H980" s="200"/>
      <c r="I980" s="243"/>
      <c r="J980" s="205"/>
      <c r="K980" s="206"/>
      <c r="L980" s="392"/>
    </row>
    <row r="981" spans="1:12" ht="15.5" thickTop="1" thickBot="1">
      <c r="A981" s="239"/>
      <c r="B981" s="204"/>
      <c r="C981" s="204"/>
      <c r="D981" s="240"/>
      <c r="E981" s="241"/>
      <c r="F981" s="242"/>
      <c r="G981" s="200"/>
      <c r="H981" s="200"/>
      <c r="I981" s="243"/>
      <c r="J981" s="205"/>
      <c r="K981" s="206"/>
      <c r="L981" s="392"/>
    </row>
    <row r="982" spans="1:12" ht="15.5" thickTop="1" thickBot="1">
      <c r="A982" s="239"/>
      <c r="B982" s="204"/>
      <c r="C982" s="204"/>
      <c r="D982" s="240"/>
      <c r="E982" s="241"/>
      <c r="F982" s="242"/>
      <c r="G982" s="200"/>
      <c r="H982" s="200"/>
      <c r="I982" s="243"/>
      <c r="J982" s="205"/>
      <c r="K982" s="206"/>
      <c r="L982" s="392"/>
    </row>
    <row r="983" spans="1:12" ht="15.5" thickTop="1" thickBot="1">
      <c r="A983" s="239"/>
      <c r="B983" s="204"/>
      <c r="C983" s="204"/>
      <c r="D983" s="240"/>
      <c r="E983" s="241"/>
      <c r="F983" s="242"/>
      <c r="G983" s="200"/>
      <c r="H983" s="200"/>
      <c r="I983" s="243"/>
      <c r="J983" s="205"/>
      <c r="K983" s="206"/>
      <c r="L983" s="392"/>
    </row>
    <row r="984" spans="1:12" ht="15.5" thickTop="1" thickBot="1">
      <c r="A984" s="239"/>
      <c r="B984" s="204"/>
      <c r="C984" s="204"/>
      <c r="D984" s="240"/>
      <c r="E984" s="241"/>
      <c r="F984" s="242"/>
      <c r="G984" s="200"/>
      <c r="H984" s="200"/>
      <c r="I984" s="243"/>
      <c r="J984" s="205"/>
      <c r="K984" s="206"/>
      <c r="L984" s="392"/>
    </row>
    <row r="985" spans="1:12" ht="15.5" thickTop="1" thickBot="1">
      <c r="A985" s="239"/>
      <c r="B985" s="204"/>
      <c r="C985" s="204"/>
      <c r="D985" s="240"/>
      <c r="E985" s="241"/>
      <c r="F985" s="242"/>
      <c r="G985" s="200"/>
      <c r="H985" s="200"/>
      <c r="I985" s="243"/>
      <c r="J985" s="205"/>
      <c r="K985" s="206"/>
      <c r="L985" s="392"/>
    </row>
    <row r="986" spans="1:12" ht="15.5" thickTop="1" thickBot="1">
      <c r="A986" s="239"/>
      <c r="B986" s="204"/>
      <c r="C986" s="204"/>
      <c r="D986" s="240"/>
      <c r="E986" s="241"/>
      <c r="F986" s="242"/>
      <c r="G986" s="200"/>
      <c r="H986" s="200"/>
      <c r="I986" s="243"/>
      <c r="J986" s="205"/>
      <c r="K986" s="206"/>
      <c r="L986" s="392"/>
    </row>
    <row r="987" spans="1:12" ht="15.5" thickTop="1" thickBot="1">
      <c r="A987" s="239"/>
      <c r="B987" s="204"/>
      <c r="C987" s="204"/>
      <c r="D987" s="240"/>
      <c r="E987" s="241"/>
      <c r="F987" s="242"/>
      <c r="G987" s="200"/>
      <c r="H987" s="200"/>
      <c r="I987" s="243"/>
      <c r="J987" s="205"/>
      <c r="K987" s="206"/>
      <c r="L987" s="392"/>
    </row>
    <row r="988" spans="1:12" ht="15.5" thickTop="1" thickBot="1">
      <c r="A988" s="239"/>
      <c r="B988" s="204"/>
      <c r="C988" s="204"/>
      <c r="D988" s="240"/>
      <c r="E988" s="241"/>
      <c r="F988" s="242"/>
      <c r="G988" s="200"/>
      <c r="H988" s="200"/>
      <c r="I988" s="243"/>
      <c r="J988" s="205"/>
      <c r="K988" s="206"/>
      <c r="L988" s="392"/>
    </row>
    <row r="989" spans="1:12" ht="15.5" thickTop="1" thickBot="1">
      <c r="A989" s="239"/>
      <c r="B989" s="204"/>
      <c r="C989" s="204"/>
      <c r="D989" s="240"/>
      <c r="E989" s="241"/>
      <c r="F989" s="242"/>
      <c r="G989" s="200"/>
      <c r="H989" s="200"/>
      <c r="I989" s="243"/>
      <c r="J989" s="205"/>
      <c r="K989" s="206"/>
      <c r="L989" s="392"/>
    </row>
    <row r="990" spans="1:12" ht="15.5" thickTop="1" thickBot="1">
      <c r="A990" s="239"/>
      <c r="B990" s="204"/>
      <c r="C990" s="204"/>
      <c r="D990" s="240"/>
      <c r="E990" s="241"/>
      <c r="F990" s="242"/>
      <c r="G990" s="200"/>
      <c r="H990" s="200"/>
      <c r="I990" s="243"/>
      <c r="J990" s="205"/>
      <c r="K990" s="206"/>
      <c r="L990" s="392"/>
    </row>
    <row r="991" spans="1:12" ht="15.5" thickTop="1" thickBot="1">
      <c r="A991" s="239"/>
      <c r="B991" s="204"/>
      <c r="C991" s="204"/>
      <c r="D991" s="240"/>
      <c r="E991" s="241"/>
      <c r="F991" s="242"/>
      <c r="G991" s="200"/>
      <c r="H991" s="200"/>
      <c r="I991" s="243"/>
      <c r="J991" s="205"/>
      <c r="K991" s="206"/>
      <c r="L991" s="392"/>
    </row>
    <row r="992" spans="1:12" ht="15.5" thickTop="1" thickBot="1">
      <c r="A992" s="239"/>
      <c r="B992" s="204"/>
      <c r="C992" s="204"/>
      <c r="D992" s="240"/>
      <c r="E992" s="241"/>
      <c r="F992" s="242"/>
      <c r="G992" s="200"/>
      <c r="H992" s="200"/>
      <c r="I992" s="243"/>
      <c r="J992" s="205"/>
      <c r="K992" s="206"/>
      <c r="L992" s="392"/>
    </row>
    <row r="993" spans="1:12" ht="15.5" thickTop="1" thickBot="1">
      <c r="A993" s="239"/>
      <c r="B993" s="204"/>
      <c r="C993" s="204"/>
      <c r="D993" s="240"/>
      <c r="E993" s="241"/>
      <c r="F993" s="242"/>
      <c r="G993" s="200"/>
      <c r="H993" s="200"/>
      <c r="I993" s="243"/>
      <c r="J993" s="205"/>
      <c r="K993" s="206"/>
      <c r="L993" s="392"/>
    </row>
    <row r="994" spans="1:12" ht="15.5" thickTop="1" thickBot="1">
      <c r="A994" s="239"/>
      <c r="B994" s="204"/>
      <c r="C994" s="204"/>
      <c r="D994" s="240"/>
      <c r="E994" s="241"/>
      <c r="F994" s="242"/>
      <c r="G994" s="200"/>
      <c r="H994" s="200"/>
      <c r="I994" s="243"/>
      <c r="J994" s="205"/>
      <c r="K994" s="206"/>
      <c r="L994" s="392"/>
    </row>
    <row r="995" spans="1:12" ht="15.5" thickTop="1" thickBot="1">
      <c r="A995" s="239"/>
      <c r="B995" s="204"/>
      <c r="C995" s="204"/>
      <c r="D995" s="240"/>
      <c r="E995" s="241"/>
      <c r="F995" s="242"/>
      <c r="G995" s="200"/>
      <c r="H995" s="200"/>
      <c r="I995" s="243"/>
      <c r="J995" s="205"/>
      <c r="K995" s="206"/>
      <c r="L995" s="392"/>
    </row>
    <row r="996" spans="1:12" ht="15.5" thickTop="1" thickBot="1">
      <c r="A996" s="239"/>
      <c r="B996" s="204"/>
      <c r="C996" s="204"/>
      <c r="D996" s="240"/>
      <c r="E996" s="241"/>
      <c r="F996" s="242"/>
      <c r="G996" s="200"/>
      <c r="H996" s="200"/>
      <c r="I996" s="243"/>
      <c r="J996" s="205"/>
      <c r="K996" s="206"/>
      <c r="L996" s="392"/>
    </row>
    <row r="997" spans="1:12" ht="15.5" thickTop="1" thickBot="1">
      <c r="A997" s="239"/>
      <c r="B997" s="204"/>
      <c r="C997" s="204"/>
      <c r="D997" s="240"/>
      <c r="E997" s="241"/>
      <c r="F997" s="242"/>
      <c r="G997" s="200"/>
      <c r="H997" s="200"/>
      <c r="I997" s="243"/>
      <c r="J997" s="205"/>
      <c r="K997" s="206"/>
      <c r="L997" s="392"/>
    </row>
    <row r="998" spans="1:12" ht="15.5" thickTop="1" thickBot="1">
      <c r="A998" s="239"/>
      <c r="B998" s="204"/>
      <c r="C998" s="204"/>
      <c r="D998" s="240"/>
      <c r="E998" s="241"/>
      <c r="F998" s="242"/>
      <c r="G998" s="200"/>
      <c r="H998" s="200"/>
      <c r="I998" s="243"/>
      <c r="J998" s="205"/>
      <c r="K998" s="206"/>
      <c r="L998" s="392"/>
    </row>
    <row r="999" spans="1:12" ht="15.5" thickTop="1" thickBot="1">
      <c r="A999" s="239"/>
      <c r="B999" s="204"/>
      <c r="C999" s="204"/>
      <c r="D999" s="240"/>
      <c r="E999" s="241"/>
      <c r="F999" s="242"/>
      <c r="G999" s="200"/>
      <c r="H999" s="200"/>
      <c r="I999" s="243"/>
      <c r="J999" s="205"/>
      <c r="K999" s="206"/>
      <c r="L999" s="392"/>
    </row>
    <row r="1000" spans="1:12" ht="15.5" thickTop="1" thickBot="1">
      <c r="A1000" s="239"/>
      <c r="B1000" s="204"/>
      <c r="C1000" s="204"/>
      <c r="D1000" s="240"/>
      <c r="E1000" s="241"/>
      <c r="F1000" s="242"/>
      <c r="G1000" s="200"/>
      <c r="H1000" s="200"/>
      <c r="I1000" s="243"/>
      <c r="J1000" s="205"/>
      <c r="K1000" s="206"/>
      <c r="L1000" s="392"/>
    </row>
    <row r="1001" spans="1:12" ht="15.5" thickTop="1" thickBot="1">
      <c r="A1001" s="239"/>
      <c r="B1001" s="204"/>
      <c r="C1001" s="204"/>
      <c r="D1001" s="240"/>
      <c r="E1001" s="241"/>
      <c r="F1001" s="242"/>
      <c r="G1001" s="200"/>
      <c r="H1001" s="200"/>
      <c r="I1001" s="243"/>
      <c r="J1001" s="205"/>
      <c r="K1001" s="206"/>
      <c r="L1001" s="392"/>
    </row>
    <row r="1002" spans="1:12" ht="15.5" thickTop="1" thickBot="1">
      <c r="A1002" s="239"/>
      <c r="B1002" s="204"/>
      <c r="C1002" s="204"/>
      <c r="D1002" s="240"/>
      <c r="E1002" s="241"/>
      <c r="F1002" s="242"/>
      <c r="G1002" s="200"/>
      <c r="H1002" s="200"/>
      <c r="I1002" s="243"/>
      <c r="J1002" s="205"/>
      <c r="K1002" s="206"/>
      <c r="L1002" s="392"/>
    </row>
    <row r="1003" spans="1:12" ht="15.5" thickTop="1" thickBot="1">
      <c r="A1003" s="239"/>
      <c r="B1003" s="204"/>
      <c r="C1003" s="204"/>
      <c r="D1003" s="240"/>
      <c r="E1003" s="241"/>
      <c r="F1003" s="242"/>
      <c r="G1003" s="200"/>
      <c r="H1003" s="200"/>
      <c r="I1003" s="243"/>
      <c r="J1003" s="205"/>
      <c r="K1003" s="206"/>
      <c r="L1003" s="392"/>
    </row>
    <row r="1004" spans="1:12" ht="15.5" thickTop="1" thickBot="1">
      <c r="A1004" s="239"/>
      <c r="B1004" s="204"/>
      <c r="C1004" s="204"/>
      <c r="D1004" s="240"/>
      <c r="E1004" s="241"/>
      <c r="F1004" s="242"/>
      <c r="G1004" s="200"/>
      <c r="H1004" s="200"/>
      <c r="I1004" s="243"/>
      <c r="J1004" s="205"/>
      <c r="K1004" s="206"/>
      <c r="L1004" s="392"/>
    </row>
    <row r="1005" spans="1:12" ht="15.5" thickTop="1" thickBot="1">
      <c r="A1005" s="239"/>
      <c r="B1005" s="204"/>
      <c r="C1005" s="204"/>
      <c r="D1005" s="240"/>
      <c r="E1005" s="241"/>
      <c r="F1005" s="242"/>
      <c r="G1005" s="200"/>
      <c r="H1005" s="200"/>
      <c r="I1005" s="243"/>
      <c r="J1005" s="205"/>
      <c r="K1005" s="206"/>
      <c r="L1005" s="392"/>
    </row>
    <row r="1006" spans="1:12" ht="15.5" thickTop="1" thickBot="1">
      <c r="A1006" s="239"/>
      <c r="B1006" s="204"/>
      <c r="C1006" s="204"/>
      <c r="D1006" s="240"/>
      <c r="E1006" s="241"/>
      <c r="F1006" s="242"/>
      <c r="G1006" s="200"/>
      <c r="H1006" s="200"/>
      <c r="I1006" s="243"/>
      <c r="J1006" s="205"/>
      <c r="K1006" s="206"/>
      <c r="L1006" s="392"/>
    </row>
    <row r="1007" spans="1:12" ht="15.5" thickTop="1" thickBot="1">
      <c r="A1007" s="239"/>
      <c r="B1007" s="204"/>
      <c r="C1007" s="204"/>
      <c r="D1007" s="240"/>
      <c r="E1007" s="241"/>
      <c r="F1007" s="242"/>
      <c r="G1007" s="200"/>
      <c r="H1007" s="200"/>
      <c r="I1007" s="243"/>
      <c r="J1007" s="205"/>
      <c r="K1007" s="206"/>
      <c r="L1007" s="392"/>
    </row>
    <row r="1008" spans="1:12" ht="15.5" thickTop="1" thickBot="1">
      <c r="A1008" s="239"/>
      <c r="B1008" s="204"/>
      <c r="C1008" s="204"/>
      <c r="D1008" s="240"/>
      <c r="E1008" s="241"/>
      <c r="F1008" s="242"/>
      <c r="G1008" s="200"/>
      <c r="H1008" s="200"/>
      <c r="I1008" s="243"/>
      <c r="J1008" s="205"/>
      <c r="K1008" s="206"/>
      <c r="L1008" s="392"/>
    </row>
    <row r="1009" spans="1:12" ht="15.5" thickTop="1" thickBot="1">
      <c r="A1009" s="239"/>
      <c r="B1009" s="204"/>
      <c r="C1009" s="204"/>
      <c r="D1009" s="240"/>
      <c r="E1009" s="241"/>
      <c r="F1009" s="242"/>
      <c r="G1009" s="200"/>
      <c r="H1009" s="200"/>
      <c r="I1009" s="243"/>
      <c r="J1009" s="205"/>
      <c r="K1009" s="206"/>
      <c r="L1009" s="392"/>
    </row>
    <row r="1010" spans="1:12" ht="15.5" thickTop="1" thickBot="1">
      <c r="A1010" s="239"/>
      <c r="B1010" s="204"/>
      <c r="C1010" s="204"/>
      <c r="D1010" s="240"/>
      <c r="E1010" s="241"/>
      <c r="F1010" s="242"/>
      <c r="G1010" s="200"/>
      <c r="H1010" s="200"/>
      <c r="I1010" s="243"/>
      <c r="J1010" s="205"/>
      <c r="K1010" s="206"/>
      <c r="L1010" s="392"/>
    </row>
    <row r="1011" spans="1:12" ht="15.5" thickTop="1" thickBot="1">
      <c r="A1011" s="239"/>
      <c r="B1011" s="204"/>
      <c r="C1011" s="204"/>
      <c r="D1011" s="240"/>
      <c r="E1011" s="241"/>
      <c r="F1011" s="242"/>
      <c r="G1011" s="200"/>
      <c r="H1011" s="200"/>
      <c r="I1011" s="243"/>
      <c r="J1011" s="205"/>
      <c r="K1011" s="206"/>
      <c r="L1011" s="392"/>
    </row>
    <row r="1012" spans="1:12" ht="15.5" thickTop="1" thickBot="1">
      <c r="A1012" s="239"/>
      <c r="B1012" s="204"/>
      <c r="C1012" s="204"/>
      <c r="D1012" s="240"/>
      <c r="E1012" s="241"/>
      <c r="F1012" s="242"/>
      <c r="G1012" s="200"/>
      <c r="H1012" s="200"/>
      <c r="I1012" s="243"/>
      <c r="J1012" s="205"/>
      <c r="K1012" s="206"/>
      <c r="L1012" s="392"/>
    </row>
    <row r="1013" spans="1:12" ht="15.5" thickTop="1" thickBot="1">
      <c r="A1013" s="239"/>
      <c r="B1013" s="204"/>
      <c r="C1013" s="204"/>
      <c r="D1013" s="240"/>
      <c r="E1013" s="241"/>
      <c r="F1013" s="242"/>
      <c r="G1013" s="200"/>
      <c r="H1013" s="200"/>
      <c r="I1013" s="243"/>
      <c r="J1013" s="205"/>
      <c r="K1013" s="206"/>
      <c r="L1013" s="392"/>
    </row>
    <row r="1014" spans="1:12" ht="15.5" thickTop="1" thickBot="1">
      <c r="A1014" s="239"/>
      <c r="B1014" s="204"/>
      <c r="C1014" s="204"/>
      <c r="D1014" s="240"/>
      <c r="E1014" s="241"/>
      <c r="F1014" s="242"/>
      <c r="G1014" s="200"/>
      <c r="H1014" s="200"/>
      <c r="I1014" s="243"/>
      <c r="J1014" s="205"/>
      <c r="K1014" s="206"/>
      <c r="L1014" s="392"/>
    </row>
    <row r="1015" spans="1:12" ht="15.5" thickTop="1" thickBot="1">
      <c r="A1015" s="239"/>
      <c r="B1015" s="204"/>
      <c r="C1015" s="204"/>
      <c r="D1015" s="240"/>
      <c r="E1015" s="241"/>
      <c r="F1015" s="242"/>
      <c r="G1015" s="200"/>
      <c r="H1015" s="200"/>
      <c r="I1015" s="243"/>
      <c r="J1015" s="205"/>
      <c r="K1015" s="206"/>
      <c r="L1015" s="392"/>
    </row>
    <row r="1016" spans="1:12" ht="15.5" thickTop="1" thickBot="1">
      <c r="A1016" s="239"/>
      <c r="B1016" s="204"/>
      <c r="C1016" s="204"/>
      <c r="D1016" s="240"/>
      <c r="E1016" s="241"/>
      <c r="F1016" s="242"/>
      <c r="G1016" s="200"/>
      <c r="H1016" s="200"/>
      <c r="I1016" s="243"/>
      <c r="J1016" s="205"/>
      <c r="K1016" s="206"/>
      <c r="L1016" s="392"/>
    </row>
    <row r="1017" spans="1:12" ht="15.5" thickTop="1" thickBot="1">
      <c r="A1017" s="239"/>
      <c r="B1017" s="204"/>
      <c r="C1017" s="204"/>
      <c r="D1017" s="240"/>
      <c r="E1017" s="241"/>
      <c r="F1017" s="242"/>
      <c r="G1017" s="200"/>
      <c r="H1017" s="200"/>
      <c r="I1017" s="243"/>
      <c r="J1017" s="205"/>
      <c r="K1017" s="206"/>
      <c r="L1017" s="393"/>
    </row>
    <row r="1018" spans="1:12" ht="15" thickTop="1"/>
  </sheetData>
  <sheetProtection algorithmName="SHA-512" hashValue="EOqTFxH6CEXvWqN6QKPl4lWxAUd2cZwDyEup5qarJFU7KLsjc8HL0Eh7b0DgWdQKX1l78teNlpIe7Q8nwKgTKA==" saltValue="B0Efupr6Fjvl4LcgudhJtg==" spinCount="100000" sheet="1" selectLockedCells="1"/>
  <customSheetViews>
    <customSheetView guid="{E1D23BD2-FE11-448B-A102-D2461140BE5A}">
      <pane ySplit="15.809859154929578" topLeftCell="A17" activePane="bottomLeft" state="frozen"/>
      <selection pane="bottomLeft" activeCell="A17" sqref="A17"/>
      <pageMargins left="0.5" right="0.5" top="0.75" bottom="0.75" header="0.25" footer="0.25"/>
      <printOptions horizontalCentered="1"/>
      <pageSetup scale="87" orientation="portrait" r:id="rId1"/>
      <headerFooter>
        <oddHeader>&amp;L&amp;"Arial,Regular"&amp;8Texas Department of Aging
and Disability Services&amp;C&amp;"Arial,Bold"&amp;12ADULT FOSTER CARE
DEMAND FOR PAYMENT NOTICE&amp;R&amp;"Arial,Regular"&amp;8Form TBD
Page &amp;P</oddHeader>
      </headerFooter>
    </customSheetView>
    <customSheetView guid="{B71FF06E-B5A8-4FBF-B20E-2B604DE9BFBD}">
      <pane ySplit="16" topLeftCell="A17" activePane="bottomLeft" state="frozen"/>
      <selection pane="bottomLeft" activeCell="L17" sqref="L17"/>
      <pageMargins left="0.5" right="0.5" top="0.75" bottom="0.75" header="0.25" footer="0.25"/>
      <printOptions horizontalCentered="1"/>
      <pageSetup scale="87" orientation="portrait" r:id="rId2"/>
      <headerFooter>
        <oddHeader>&amp;L&amp;"Arial,Regular"&amp;8Texas Department of Aging
and Disability Services&amp;C&amp;"Arial,Bold"&amp;12ADULT FOSTER CARE
DEMAND FOR PAYMENT NOTICE&amp;R&amp;"Arial,Regular"&amp;8Form TBD
Page &amp;P</oddHeader>
      </headerFooter>
    </customSheetView>
  </customSheetViews>
  <mergeCells count="38">
    <mergeCell ref="L13:L16"/>
    <mergeCell ref="I1:L1"/>
    <mergeCell ref="I2:L2"/>
    <mergeCell ref="J3:L3"/>
    <mergeCell ref="K4:L4"/>
    <mergeCell ref="K5:L5"/>
    <mergeCell ref="F6:L7"/>
    <mergeCell ref="A8:L8"/>
    <mergeCell ref="A9:L9"/>
    <mergeCell ref="H10:L10"/>
    <mergeCell ref="H11:L11"/>
    <mergeCell ref="A12:L12"/>
    <mergeCell ref="A6:B6"/>
    <mergeCell ref="A7:B7"/>
    <mergeCell ref="A2:E2"/>
    <mergeCell ref="F1:H1"/>
    <mergeCell ref="F2:H2"/>
    <mergeCell ref="A1:E1"/>
    <mergeCell ref="C6:E6"/>
    <mergeCell ref="C7:E7"/>
    <mergeCell ref="D3:E3"/>
    <mergeCell ref="D4:E4"/>
    <mergeCell ref="D5:E5"/>
    <mergeCell ref="F3:G3"/>
    <mergeCell ref="F4:G4"/>
    <mergeCell ref="F5:G5"/>
    <mergeCell ref="H3:I3"/>
    <mergeCell ref="H4:I4"/>
    <mergeCell ref="H5:I5"/>
    <mergeCell ref="A3:C3"/>
    <mergeCell ref="B4:C4"/>
    <mergeCell ref="B5:C5"/>
    <mergeCell ref="A10:G10"/>
    <mergeCell ref="A11:G11"/>
    <mergeCell ref="A15:A16"/>
    <mergeCell ref="A13:E14"/>
    <mergeCell ref="K13:K14"/>
    <mergeCell ref="F13:J13"/>
  </mergeCells>
  <dataValidations count="8">
    <dataValidation type="date" operator="greaterThanOrEqual" allowBlank="1" showInputMessage="1" showErrorMessage="1" sqref="G17:H1017" xr:uid="{00000000-0002-0000-1100-000000000000}">
      <formula1>1</formula1>
    </dataValidation>
    <dataValidation type="decimal" operator="greaterThanOrEqual" allowBlank="1" showInputMessage="1" showErrorMessage="1" sqref="I17:I1017" xr:uid="{00000000-0002-0000-1100-000001000000}">
      <formula1>0</formula1>
    </dataValidation>
    <dataValidation type="whole" operator="greaterThan" allowBlank="1" showInputMessage="1" showErrorMessage="1" sqref="B17:C1017" xr:uid="{00000000-0002-0000-1100-000002000000}">
      <formula1>0</formula1>
    </dataValidation>
    <dataValidation type="textLength" operator="lessThanOrEqual" allowBlank="1" showInputMessage="1" showErrorMessage="1" sqref="D17:D1017" xr:uid="{00000000-0002-0000-1100-000003000000}">
      <formula1>255</formula1>
    </dataValidation>
    <dataValidation type="textLength" operator="lessThanOrEqual" allowBlank="1" showInputMessage="1" showErrorMessage="1" sqref="E17:F1017" xr:uid="{00000000-0002-0000-1100-000004000000}">
      <formula1>10</formula1>
    </dataValidation>
    <dataValidation type="decimal" allowBlank="1" showInputMessage="1" showErrorMessage="1" sqref="J17:K1017" xr:uid="{00000000-0002-0000-1100-000005000000}">
      <formula1>-1000000</formula1>
      <formula2>1000000</formula2>
    </dataValidation>
    <dataValidation type="list" allowBlank="1" showInputMessage="1" showErrorMessage="1" sqref="A17:A1017" xr:uid="{00000000-0002-0000-1100-000006000000}">
      <formula1>"CCAD-AFC,CBA-AFC"</formula1>
    </dataValidation>
    <dataValidation type="textLength" allowBlank="1" showInputMessage="1" showErrorMessage="1" error="Text length should be between 0 and 25 characters." sqref="L17:L1017" xr:uid="{00000000-0002-0000-1100-000007000000}">
      <formula1>0</formula1>
      <formula2>25</formula2>
    </dataValidation>
  </dataValidations>
  <printOptions horizontalCentered="1"/>
  <pageMargins left="0.5" right="0.5" top="0.75" bottom="0.75" header="0.25" footer="0.25"/>
  <pageSetup scale="87" orientation="portrait" r:id="rId3"/>
  <headerFooter>
    <oddHeader>&amp;L&amp;"Arial,Regular"&amp;8Texas Department of Aging
and Disability Services&amp;C&amp;"Arial,Bold"&amp;12ADULT FOSTER CARE
DEMAND FOR PAYMENT NOTICE&amp;R&amp;"Arial,Regular"&amp;8Form TBD
Page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E12"/>
  <sheetViews>
    <sheetView zoomScaleNormal="100" workbookViewId="0">
      <selection activeCell="B2" sqref="B2"/>
    </sheetView>
  </sheetViews>
  <sheetFormatPr defaultRowHeight="14.5"/>
  <cols>
    <col min="1" max="1" width="12.1796875" customWidth="1"/>
    <col min="2" max="2" width="20.81640625" customWidth="1"/>
    <col min="3" max="3" width="19.81640625" customWidth="1"/>
    <col min="4" max="4" width="20.453125" customWidth="1"/>
    <col min="5" max="5" width="19.453125" customWidth="1"/>
  </cols>
  <sheetData>
    <row r="1" spans="1:5" ht="15" thickBot="1">
      <c r="A1" s="516" t="s">
        <v>939</v>
      </c>
      <c r="B1" s="1469"/>
      <c r="C1" s="1469"/>
      <c r="D1" s="517"/>
      <c r="E1" s="5"/>
    </row>
    <row r="2" spans="1:5" ht="15" thickBot="1">
      <c r="A2" s="6" t="s">
        <v>8</v>
      </c>
      <c r="B2" s="201"/>
      <c r="C2" s="6" t="s">
        <v>10</v>
      </c>
      <c r="D2" s="202"/>
      <c r="E2" s="5"/>
    </row>
    <row r="3" spans="1:5" ht="16" thickBot="1">
      <c r="A3" s="1483"/>
      <c r="B3" s="1484"/>
      <c r="C3" s="1484"/>
      <c r="D3" s="1484"/>
      <c r="E3" s="1485"/>
    </row>
    <row r="4" spans="1:5" s="7" customFormat="1" ht="40" thickBot="1">
      <c r="A4" s="18" t="s">
        <v>38</v>
      </c>
      <c r="B4" s="18" t="s">
        <v>39</v>
      </c>
      <c r="C4" s="18" t="s">
        <v>967</v>
      </c>
      <c r="D4" s="209" t="s">
        <v>968</v>
      </c>
      <c r="E4" s="209" t="s">
        <v>969</v>
      </c>
    </row>
    <row r="5" spans="1:5" ht="15" thickBot="1">
      <c r="A5" s="17">
        <v>1</v>
      </c>
      <c r="B5" s="364"/>
      <c r="C5" s="203"/>
      <c r="D5" s="210"/>
      <c r="E5" s="210"/>
    </row>
    <row r="6" spans="1:5" ht="15" thickBot="1">
      <c r="A6" s="17">
        <v>2</v>
      </c>
      <c r="B6" s="364"/>
      <c r="C6" s="203"/>
      <c r="D6" s="210"/>
      <c r="E6" s="210"/>
    </row>
    <row r="7" spans="1:5" ht="15" thickBot="1">
      <c r="A7" s="17">
        <v>3</v>
      </c>
      <c r="B7" s="364"/>
      <c r="C7" s="203"/>
      <c r="D7" s="210"/>
      <c r="E7" s="210"/>
    </row>
    <row r="8" spans="1:5" ht="15" thickBot="1">
      <c r="A8" s="17">
        <v>4</v>
      </c>
      <c r="B8" s="364"/>
      <c r="C8" s="203"/>
      <c r="D8" s="210"/>
      <c r="E8" s="210"/>
    </row>
    <row r="9" spans="1:5" ht="15" thickBot="1">
      <c r="A9" s="17">
        <v>5</v>
      </c>
      <c r="B9" s="364"/>
      <c r="C9" s="203"/>
      <c r="D9" s="210"/>
      <c r="E9" s="210"/>
    </row>
    <row r="10" spans="1:5" ht="15" thickBot="1">
      <c r="A10" s="17">
        <v>6</v>
      </c>
      <c r="B10" s="364"/>
      <c r="C10" s="203"/>
      <c r="D10" s="210"/>
      <c r="E10" s="210"/>
    </row>
    <row r="11" spans="1:5" ht="15" thickBot="1">
      <c r="A11" s="17">
        <v>7</v>
      </c>
      <c r="B11" s="364"/>
      <c r="C11" s="203"/>
      <c r="D11" s="210"/>
      <c r="E11" s="210"/>
    </row>
    <row r="12" spans="1:5" ht="15" thickBot="1">
      <c r="A12" s="17">
        <v>8</v>
      </c>
      <c r="B12" s="364"/>
      <c r="C12" s="203"/>
      <c r="D12" s="210"/>
      <c r="E12" s="210"/>
    </row>
  </sheetData>
  <sheetProtection password="A541" sheet="1" objects="1" scenarios="1" selectLockedCells="1"/>
  <customSheetViews>
    <customSheetView guid="{E1D23BD2-FE11-448B-A102-D2461140BE5A}">
      <selection activeCell="B2" sqref="B2"/>
      <pageMargins left="0.7" right="0.7" top="0.75" bottom="0.75" header="0.3" footer="0.3"/>
      <pageSetup scale="97" orientation="portrait" r:id="rId1"/>
    </customSheetView>
    <customSheetView guid="{B71FF06E-B5A8-4FBF-B20E-2B604DE9BFBD}">
      <selection activeCell="B2" sqref="B2"/>
      <pageMargins left="0.7" right="0.7" top="0.75" bottom="0.75" header="0.3" footer="0.3"/>
      <pageSetup scale="97" orientation="portrait" r:id="rId2"/>
    </customSheetView>
  </customSheetViews>
  <mergeCells count="2">
    <mergeCell ref="A1:D1"/>
    <mergeCell ref="A3:E3"/>
  </mergeCells>
  <dataValidations count="5">
    <dataValidation type="textLength" operator="equal" allowBlank="1" showInputMessage="1" showErrorMessage="1" errorTitle="CONTRACT NUMBER LENGTH" error="Contract Number must be 9 digits including leading zeros." sqref="B5:B12" xr:uid="{00000000-0002-0000-1200-000000000000}">
      <formula1>9</formula1>
    </dataValidation>
    <dataValidation type="whole" operator="greaterThan" allowBlank="1" showInputMessage="1" showErrorMessage="1" sqref="C5:C12" xr:uid="{00000000-0002-0000-1200-000001000000}">
      <formula1>0</formula1>
    </dataValidation>
    <dataValidation type="textLength" operator="lessThanOrEqual" allowBlank="1" showInputMessage="1" showErrorMessage="1" sqref="D5:E12" xr:uid="{00000000-0002-0000-1200-000002000000}">
      <formula1>255</formula1>
    </dataValidation>
    <dataValidation type="date" operator="greaterThanOrEqual" allowBlank="1" showInputMessage="1" showErrorMessage="1" sqref="B2" xr:uid="{00000000-0002-0000-1200-000003000000}">
      <formula1>1</formula1>
    </dataValidation>
    <dataValidation type="date" operator="greaterThanOrEqual" allowBlank="1" showInputMessage="1" showErrorMessage="1" errorTitle="Date Error" error="End date cannot be earlier than begin date." sqref="D2" xr:uid="{00000000-0002-0000-1200-000004000000}">
      <formula1>B2</formula1>
    </dataValidation>
  </dataValidations>
  <pageMargins left="0.7" right="0.7" top="0.75" bottom="0.75" header="0.3" footer="0.3"/>
  <pageSetup scale="9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522"/>
  <sheetViews>
    <sheetView tabSelected="1" zoomScaleNormal="100" zoomScaleSheetLayoutView="100" workbookViewId="0">
      <selection activeCell="J11" sqref="J11:J16"/>
    </sheetView>
  </sheetViews>
  <sheetFormatPr defaultColWidth="9.1796875" defaultRowHeight="15.5"/>
  <cols>
    <col min="1" max="1" width="12" style="1" bestFit="1" customWidth="1"/>
    <col min="2" max="2" width="17.81640625" style="1" customWidth="1"/>
    <col min="3" max="3" width="9" style="1" bestFit="1" customWidth="1"/>
    <col min="4" max="4" width="7" style="1" bestFit="1" customWidth="1"/>
    <col min="5" max="5" width="9.1796875" style="1"/>
    <col min="6" max="7" width="9.1796875" style="1" bestFit="1" customWidth="1"/>
    <col min="8" max="8" width="10.1796875" style="1" customWidth="1"/>
    <col min="9" max="9" width="12.453125" style="1" customWidth="1"/>
    <col min="10" max="10" width="12.81640625" style="1" customWidth="1"/>
    <col min="11" max="11" width="9.1796875" style="1"/>
    <col min="12" max="12" width="14.54296875" style="1" bestFit="1" customWidth="1"/>
    <col min="13" max="13" width="9.1796875" style="1" customWidth="1"/>
    <col min="14" max="16384" width="9.1796875" style="1"/>
  </cols>
  <sheetData>
    <row r="1" spans="1:12" ht="15.75" customHeight="1" thickTop="1">
      <c r="A1" s="592" t="s">
        <v>0</v>
      </c>
      <c r="B1" s="593"/>
      <c r="C1" s="593"/>
      <c r="D1" s="593"/>
      <c r="E1" s="593"/>
      <c r="F1" s="603"/>
      <c r="G1" s="599" t="s">
        <v>1</v>
      </c>
      <c r="H1" s="600"/>
      <c r="I1" s="595" t="s">
        <v>2</v>
      </c>
      <c r="J1" s="596"/>
      <c r="K1" s="369"/>
      <c r="L1" s="368" t="s">
        <v>1150</v>
      </c>
    </row>
    <row r="2" spans="1:12" ht="31.5" customHeight="1" thickBot="1">
      <c r="A2" s="604"/>
      <c r="B2" s="605"/>
      <c r="C2" s="605"/>
      <c r="D2" s="605"/>
      <c r="E2" s="605"/>
      <c r="F2" s="606"/>
      <c r="G2" s="601"/>
      <c r="H2" s="602"/>
      <c r="I2" s="597"/>
      <c r="J2" s="598"/>
      <c r="K2" s="369" t="str">
        <f ca="1">Data!D1</f>
        <v>V6.0.3</v>
      </c>
      <c r="L2" s="371">
        <v>45330</v>
      </c>
    </row>
    <row r="3" spans="1:12" ht="15.75" customHeight="1">
      <c r="A3" s="622" t="s">
        <v>3</v>
      </c>
      <c r="B3" s="623"/>
      <c r="C3" s="609" t="s">
        <v>4</v>
      </c>
      <c r="D3" s="610"/>
      <c r="E3" s="609" t="s">
        <v>894</v>
      </c>
      <c r="F3" s="610"/>
      <c r="G3" s="609" t="s">
        <v>894</v>
      </c>
      <c r="H3" s="610"/>
      <c r="I3" s="619" t="s">
        <v>939</v>
      </c>
      <c r="J3" s="620"/>
    </row>
    <row r="4" spans="1:12">
      <c r="A4" s="13" t="s">
        <v>6</v>
      </c>
      <c r="B4" s="223"/>
      <c r="C4" s="611" t="s">
        <v>7</v>
      </c>
      <c r="D4" s="612"/>
      <c r="E4" s="615" t="s">
        <v>895</v>
      </c>
      <c r="F4" s="616"/>
      <c r="G4" s="615" t="s">
        <v>991</v>
      </c>
      <c r="H4" s="616"/>
      <c r="I4" s="257" t="s">
        <v>8</v>
      </c>
      <c r="J4" s="253" t="str">
        <f>IF(DateOfMonitoringPeriodBegin="","",DateOfMonitoringPeriodBegin)</f>
        <v/>
      </c>
    </row>
    <row r="5" spans="1:12" ht="16" thickBot="1">
      <c r="A5" s="254" t="s">
        <v>9</v>
      </c>
      <c r="B5" s="255"/>
      <c r="C5" s="613"/>
      <c r="D5" s="614"/>
      <c r="E5" s="617"/>
      <c r="F5" s="618"/>
      <c r="G5" s="613"/>
      <c r="H5" s="621"/>
      <c r="I5" s="258" t="s">
        <v>10</v>
      </c>
      <c r="J5" s="256" t="str">
        <f>IF(DateOfMonitoringPeriodEnd="","",DateOfMonitoringPeriodEnd)</f>
        <v/>
      </c>
    </row>
    <row r="6" spans="1:12" ht="17.25" customHeight="1" thickTop="1" thickBot="1">
      <c r="A6" s="607" t="s">
        <v>11</v>
      </c>
      <c r="B6" s="608"/>
      <c r="C6" s="608" t="s">
        <v>49</v>
      </c>
      <c r="D6" s="608"/>
      <c r="E6" s="608"/>
      <c r="F6" s="599"/>
      <c r="G6" s="595"/>
      <c r="H6" s="595"/>
      <c r="I6" s="595"/>
      <c r="J6" s="596"/>
    </row>
    <row r="7" spans="1:12" ht="16.5" customHeight="1" thickBot="1">
      <c r="A7" s="628" t="s">
        <v>402</v>
      </c>
      <c r="B7" s="629"/>
      <c r="C7" s="627"/>
      <c r="D7" s="627"/>
      <c r="E7" s="627"/>
      <c r="F7" s="624"/>
      <c r="G7" s="625"/>
      <c r="H7" s="625"/>
      <c r="I7" s="625"/>
      <c r="J7" s="626"/>
    </row>
    <row r="8" spans="1:12" ht="49.5" customHeight="1" thickTop="1" thickBot="1">
      <c r="A8" s="543" t="s">
        <v>846</v>
      </c>
      <c r="B8" s="544"/>
      <c r="C8" s="544"/>
      <c r="D8" s="544"/>
      <c r="E8" s="544"/>
      <c r="F8" s="544"/>
      <c r="G8" s="544"/>
      <c r="H8" s="544"/>
      <c r="I8" s="544"/>
      <c r="J8" s="545"/>
    </row>
    <row r="9" spans="1:12" ht="16.5" thickTop="1" thickBot="1">
      <c r="A9" s="546" t="s">
        <v>12</v>
      </c>
      <c r="B9" s="547"/>
      <c r="C9" s="547"/>
      <c r="D9" s="547"/>
      <c r="E9" s="547"/>
      <c r="F9" s="547"/>
      <c r="G9" s="547"/>
      <c r="H9" s="547"/>
      <c r="I9" s="547"/>
      <c r="J9" s="548"/>
    </row>
    <row r="10" spans="1:12" ht="33" customHeight="1" thickTop="1" thickBot="1">
      <c r="A10" s="426" t="s">
        <v>1071</v>
      </c>
      <c r="B10" s="549"/>
      <c r="C10" s="549"/>
      <c r="D10" s="549"/>
      <c r="E10" s="549"/>
      <c r="F10" s="549"/>
      <c r="G10" s="549"/>
      <c r="H10" s="549"/>
      <c r="I10" s="550"/>
      <c r="J10" s="144" t="s">
        <v>13</v>
      </c>
    </row>
    <row r="11" spans="1:12" ht="16" thickTop="1">
      <c r="A11" s="439" t="s">
        <v>1072</v>
      </c>
      <c r="B11" s="440"/>
      <c r="C11" s="440"/>
      <c r="D11" s="440"/>
      <c r="E11" s="440"/>
      <c r="F11" s="440"/>
      <c r="G11" s="440"/>
      <c r="H11" s="440"/>
      <c r="I11" s="441"/>
      <c r="J11" s="401"/>
    </row>
    <row r="12" spans="1:12" ht="31.5" customHeight="1">
      <c r="A12" s="554" t="s">
        <v>1073</v>
      </c>
      <c r="B12" s="555"/>
      <c r="C12" s="555"/>
      <c r="D12" s="555"/>
      <c r="E12" s="555"/>
      <c r="F12" s="555"/>
      <c r="G12" s="555"/>
      <c r="H12" s="555"/>
      <c r="I12" s="556"/>
      <c r="J12" s="557"/>
    </row>
    <row r="13" spans="1:12">
      <c r="A13" s="554" t="s">
        <v>1074</v>
      </c>
      <c r="B13" s="555"/>
      <c r="C13" s="555"/>
      <c r="D13" s="555"/>
      <c r="E13" s="555"/>
      <c r="F13" s="555"/>
      <c r="G13" s="555"/>
      <c r="H13" s="555"/>
      <c r="I13" s="556"/>
      <c r="J13" s="557"/>
    </row>
    <row r="14" spans="1:12">
      <c r="A14" s="554" t="s">
        <v>1075</v>
      </c>
      <c r="B14" s="555"/>
      <c r="C14" s="555"/>
      <c r="D14" s="555"/>
      <c r="E14" s="555"/>
      <c r="F14" s="555"/>
      <c r="G14" s="555"/>
      <c r="H14" s="555"/>
      <c r="I14" s="556"/>
      <c r="J14" s="557"/>
    </row>
    <row r="15" spans="1:12" ht="16" thickBot="1">
      <c r="A15" s="551" t="s">
        <v>1076</v>
      </c>
      <c r="B15" s="552"/>
      <c r="C15" s="552"/>
      <c r="D15" s="552"/>
      <c r="E15" s="552"/>
      <c r="F15" s="552"/>
      <c r="G15" s="552"/>
      <c r="H15" s="552"/>
      <c r="I15" s="553"/>
      <c r="J15" s="557"/>
    </row>
    <row r="16" spans="1:12" ht="36" customHeight="1" thickTop="1" thickBot="1">
      <c r="A16" s="376" t="s">
        <v>14</v>
      </c>
      <c r="B16" s="559"/>
      <c r="C16" s="560"/>
      <c r="D16" s="560"/>
      <c r="E16" s="560"/>
      <c r="F16" s="560"/>
      <c r="G16" s="560"/>
      <c r="H16" s="560"/>
      <c r="I16" s="561"/>
      <c r="J16" s="558"/>
    </row>
    <row r="17" spans="1:10" ht="27.75" customHeight="1" thickTop="1" thickBot="1">
      <c r="A17" s="426" t="s">
        <v>1077</v>
      </c>
      <c r="B17" s="427"/>
      <c r="C17" s="427"/>
      <c r="D17" s="427"/>
      <c r="E17" s="427"/>
      <c r="F17" s="427"/>
      <c r="G17" s="427"/>
      <c r="H17" s="427"/>
      <c r="I17" s="428"/>
      <c r="J17" s="144" t="s">
        <v>13</v>
      </c>
    </row>
    <row r="18" spans="1:10" ht="16" thickTop="1">
      <c r="A18" s="439" t="s">
        <v>1078</v>
      </c>
      <c r="B18" s="440"/>
      <c r="C18" s="440"/>
      <c r="D18" s="440"/>
      <c r="E18" s="440"/>
      <c r="F18" s="440"/>
      <c r="G18" s="440"/>
      <c r="H18" s="440"/>
      <c r="I18" s="441"/>
      <c r="J18" s="401"/>
    </row>
    <row r="19" spans="1:10" ht="15.75" customHeight="1">
      <c r="A19" s="484" t="s">
        <v>1079</v>
      </c>
      <c r="B19" s="485"/>
      <c r="C19" s="485"/>
      <c r="D19" s="485"/>
      <c r="E19" s="485"/>
      <c r="F19" s="485"/>
      <c r="G19" s="485"/>
      <c r="H19" s="485"/>
      <c r="I19" s="486"/>
      <c r="J19" s="402"/>
    </row>
    <row r="20" spans="1:10" ht="15.75" customHeight="1">
      <c r="A20" s="484" t="s">
        <v>1080</v>
      </c>
      <c r="B20" s="485"/>
      <c r="C20" s="485"/>
      <c r="D20" s="485"/>
      <c r="E20" s="485"/>
      <c r="F20" s="485"/>
      <c r="G20" s="485"/>
      <c r="H20" s="485"/>
      <c r="I20" s="486"/>
      <c r="J20" s="402"/>
    </row>
    <row r="21" spans="1:10" ht="27.75" customHeight="1">
      <c r="A21" s="554" t="s">
        <v>1081</v>
      </c>
      <c r="B21" s="555"/>
      <c r="C21" s="555"/>
      <c r="D21" s="555"/>
      <c r="E21" s="555"/>
      <c r="F21" s="555"/>
      <c r="G21" s="555"/>
      <c r="H21" s="555"/>
      <c r="I21" s="556"/>
      <c r="J21" s="402"/>
    </row>
    <row r="22" spans="1:10" ht="28.5" customHeight="1">
      <c r="A22" s="554" t="s">
        <v>1082</v>
      </c>
      <c r="B22" s="555"/>
      <c r="C22" s="555"/>
      <c r="D22" s="555"/>
      <c r="E22" s="555"/>
      <c r="F22" s="555"/>
      <c r="G22" s="555"/>
      <c r="H22" s="555"/>
      <c r="I22" s="556"/>
      <c r="J22" s="402"/>
    </row>
    <row r="23" spans="1:10" ht="16.5" customHeight="1" thickBot="1">
      <c r="A23" s="562" t="s">
        <v>1130</v>
      </c>
      <c r="B23" s="563"/>
      <c r="C23" s="563"/>
      <c r="D23" s="563"/>
      <c r="E23" s="563"/>
      <c r="F23" s="563"/>
      <c r="G23" s="563"/>
      <c r="H23" s="563"/>
      <c r="I23" s="564"/>
      <c r="J23" s="402"/>
    </row>
    <row r="24" spans="1:10" ht="17.25" customHeight="1">
      <c r="A24" s="722" t="s">
        <v>14</v>
      </c>
      <c r="B24" s="716"/>
      <c r="C24" s="717"/>
      <c r="D24" s="717"/>
      <c r="E24" s="717"/>
      <c r="F24" s="717"/>
      <c r="G24" s="717"/>
      <c r="H24" s="717"/>
      <c r="I24" s="718"/>
      <c r="J24" s="402"/>
    </row>
    <row r="25" spans="1:10" ht="21.75" customHeight="1" thickBot="1">
      <c r="A25" s="723"/>
      <c r="B25" s="719"/>
      <c r="C25" s="720"/>
      <c r="D25" s="720"/>
      <c r="E25" s="720"/>
      <c r="F25" s="720"/>
      <c r="G25" s="720"/>
      <c r="H25" s="720"/>
      <c r="I25" s="721"/>
      <c r="J25" s="724"/>
    </row>
    <row r="26" spans="1:10" ht="43.5" customHeight="1" thickTop="1" thickBot="1">
      <c r="A26" s="426" t="s">
        <v>1083</v>
      </c>
      <c r="B26" s="427"/>
      <c r="C26" s="427"/>
      <c r="D26" s="427"/>
      <c r="E26" s="427"/>
      <c r="F26" s="427"/>
      <c r="G26" s="427"/>
      <c r="H26" s="427"/>
      <c r="I26" s="428"/>
      <c r="J26" s="144" t="s">
        <v>13</v>
      </c>
    </row>
    <row r="27" spans="1:10" ht="115.5" customHeight="1" thickTop="1" thickBot="1">
      <c r="A27" s="562" t="s">
        <v>1131</v>
      </c>
      <c r="B27" s="563"/>
      <c r="C27" s="563"/>
      <c r="D27" s="563"/>
      <c r="E27" s="563"/>
      <c r="F27" s="563"/>
      <c r="G27" s="563"/>
      <c r="H27" s="563"/>
      <c r="I27" s="564"/>
      <c r="J27" s="402"/>
    </row>
    <row r="28" spans="1:10" ht="17.25" customHeight="1">
      <c r="A28" s="722" t="s">
        <v>14</v>
      </c>
      <c r="B28" s="726"/>
      <c r="C28" s="726"/>
      <c r="D28" s="726"/>
      <c r="E28" s="726"/>
      <c r="F28" s="726"/>
      <c r="G28" s="726"/>
      <c r="H28" s="726"/>
      <c r="I28" s="727"/>
      <c r="J28" s="402"/>
    </row>
    <row r="29" spans="1:10" ht="18" customHeight="1" thickBot="1">
      <c r="A29" s="725"/>
      <c r="B29" s="728"/>
      <c r="C29" s="728"/>
      <c r="D29" s="728"/>
      <c r="E29" s="728"/>
      <c r="F29" s="728"/>
      <c r="G29" s="728"/>
      <c r="H29" s="728"/>
      <c r="I29" s="729"/>
      <c r="J29" s="724"/>
    </row>
    <row r="30" spans="1:10" ht="51" customHeight="1" thickTop="1" thickBot="1">
      <c r="A30" s="398" t="s">
        <v>70</v>
      </c>
      <c r="B30" s="399"/>
      <c r="C30" s="399"/>
      <c r="D30" s="399"/>
      <c r="E30" s="399"/>
      <c r="F30" s="399"/>
      <c r="G30" s="399"/>
      <c r="H30" s="399"/>
      <c r="I30" s="400"/>
      <c r="J30" s="144" t="s">
        <v>13</v>
      </c>
    </row>
    <row r="31" spans="1:10" ht="16" thickTop="1">
      <c r="A31" s="406" t="s">
        <v>46</v>
      </c>
      <c r="B31" s="407"/>
      <c r="C31" s="407"/>
      <c r="D31" s="407"/>
      <c r="E31" s="407"/>
      <c r="F31" s="407"/>
      <c r="G31" s="407"/>
      <c r="H31" s="407"/>
      <c r="I31" s="408"/>
      <c r="J31" s="401"/>
    </row>
    <row r="32" spans="1:10">
      <c r="A32" s="406" t="s">
        <v>47</v>
      </c>
      <c r="B32" s="407"/>
      <c r="C32" s="407"/>
      <c r="D32" s="407"/>
      <c r="E32" s="407"/>
      <c r="F32" s="407"/>
      <c r="G32" s="407"/>
      <c r="H32" s="407"/>
      <c r="I32" s="408"/>
      <c r="J32" s="402"/>
    </row>
    <row r="33" spans="1:10">
      <c r="A33" s="406" t="s">
        <v>48</v>
      </c>
      <c r="B33" s="407"/>
      <c r="C33" s="407"/>
      <c r="D33" s="407"/>
      <c r="E33" s="407"/>
      <c r="F33" s="407"/>
      <c r="G33" s="407"/>
      <c r="H33" s="407"/>
      <c r="I33" s="408"/>
      <c r="J33" s="402"/>
    </row>
    <row r="34" spans="1:10">
      <c r="A34" s="406" t="s">
        <v>935</v>
      </c>
      <c r="B34" s="407"/>
      <c r="C34" s="407"/>
      <c r="D34" s="407"/>
      <c r="E34" s="407"/>
      <c r="F34" s="407"/>
      <c r="G34" s="407"/>
      <c r="H34" s="407"/>
      <c r="I34" s="408"/>
      <c r="J34" s="402"/>
    </row>
    <row r="35" spans="1:10" ht="16" thickBot="1">
      <c r="A35" s="403" t="s">
        <v>1084</v>
      </c>
      <c r="B35" s="404"/>
      <c r="C35" s="404"/>
      <c r="D35" s="404"/>
      <c r="E35" s="404"/>
      <c r="F35" s="404"/>
      <c r="G35" s="404"/>
      <c r="H35" s="404"/>
      <c r="I35" s="405"/>
      <c r="J35" s="402"/>
    </row>
    <row r="36" spans="1:10" ht="35.25" customHeight="1" thickTop="1" thickBot="1">
      <c r="A36" s="376" t="s">
        <v>14</v>
      </c>
      <c r="B36" s="559"/>
      <c r="C36" s="560"/>
      <c r="D36" s="560"/>
      <c r="E36" s="560"/>
      <c r="F36" s="560"/>
      <c r="G36" s="560"/>
      <c r="H36" s="560"/>
      <c r="I36" s="561"/>
      <c r="J36" s="402"/>
    </row>
    <row r="37" spans="1:10" ht="30" customHeight="1" thickTop="1" thickBot="1">
      <c r="A37" s="398" t="s">
        <v>1140</v>
      </c>
      <c r="B37" s="399"/>
      <c r="C37" s="399"/>
      <c r="D37" s="399"/>
      <c r="E37" s="399"/>
      <c r="F37" s="399"/>
      <c r="G37" s="399"/>
      <c r="H37" s="399"/>
      <c r="I37" s="400"/>
      <c r="J37" s="144" t="s">
        <v>13</v>
      </c>
    </row>
    <row r="38" spans="1:10" ht="32.25" customHeight="1" thickTop="1">
      <c r="A38" s="406" t="s">
        <v>1141</v>
      </c>
      <c r="B38" s="407"/>
      <c r="C38" s="407"/>
      <c r="D38" s="407"/>
      <c r="E38" s="407"/>
      <c r="F38" s="407"/>
      <c r="G38" s="407"/>
      <c r="H38" s="407"/>
      <c r="I38" s="408"/>
      <c r="J38" s="401"/>
    </row>
    <row r="39" spans="1:10" ht="32.25" customHeight="1">
      <c r="A39" s="409"/>
      <c r="B39" s="410"/>
      <c r="C39" s="410"/>
      <c r="D39" s="410"/>
      <c r="E39" s="410"/>
      <c r="F39" s="410"/>
      <c r="G39" s="410"/>
      <c r="H39" s="410"/>
      <c r="I39" s="411"/>
      <c r="J39" s="402"/>
    </row>
    <row r="40" spans="1:10" ht="32.25" customHeight="1">
      <c r="A40" s="409"/>
      <c r="B40" s="410"/>
      <c r="C40" s="410"/>
      <c r="D40" s="410"/>
      <c r="E40" s="410"/>
      <c r="F40" s="410"/>
      <c r="G40" s="410"/>
      <c r="H40" s="410"/>
      <c r="I40" s="411"/>
      <c r="J40" s="402"/>
    </row>
    <row r="41" spans="1:10" ht="34.5" customHeight="1">
      <c r="A41" s="409"/>
      <c r="B41" s="410"/>
      <c r="C41" s="410"/>
      <c r="D41" s="410"/>
      <c r="E41" s="410"/>
      <c r="F41" s="410"/>
      <c r="G41" s="410"/>
      <c r="H41" s="410"/>
      <c r="I41" s="411"/>
      <c r="J41" s="402"/>
    </row>
    <row r="42" spans="1:10" ht="15.75" customHeight="1" thickBot="1">
      <c r="A42" s="403" t="s">
        <v>1142</v>
      </c>
      <c r="B42" s="404"/>
      <c r="C42" s="404"/>
      <c r="D42" s="404"/>
      <c r="E42" s="404"/>
      <c r="F42" s="404"/>
      <c r="G42" s="404"/>
      <c r="H42" s="404"/>
      <c r="I42" s="405"/>
      <c r="J42" s="402"/>
    </row>
    <row r="43" spans="1:10" ht="36" customHeight="1" thickTop="1" thickBot="1">
      <c r="A43" s="376" t="s">
        <v>14</v>
      </c>
      <c r="B43" s="559"/>
      <c r="C43" s="560"/>
      <c r="D43" s="560"/>
      <c r="E43" s="560"/>
      <c r="F43" s="560"/>
      <c r="G43" s="560"/>
      <c r="H43" s="560"/>
      <c r="I43" s="561"/>
      <c r="J43" s="402"/>
    </row>
    <row r="44" spans="1:10" ht="16.5" thickTop="1" thickBot="1">
      <c r="A44" s="138" t="s">
        <v>14</v>
      </c>
      <c r="B44" s="565"/>
      <c r="C44" s="565"/>
      <c r="D44" s="565"/>
      <c r="E44" s="565"/>
      <c r="F44" s="566"/>
      <c r="G44" s="437" t="s">
        <v>15</v>
      </c>
      <c r="H44" s="438"/>
      <c r="I44" s="437" t="s">
        <v>16</v>
      </c>
      <c r="J44" s="438"/>
    </row>
    <row r="45" spans="1:10" ht="16.5" thickTop="1" thickBot="1">
      <c r="A45" s="453" t="s">
        <v>12</v>
      </c>
      <c r="B45" s="454"/>
      <c r="C45" s="454"/>
      <c r="D45" s="454"/>
      <c r="E45" s="454"/>
      <c r="F45" s="455"/>
      <c r="G45" s="420">
        <f>COUNTIF(J11:J43, "Y")</f>
        <v>0</v>
      </c>
      <c r="H45" s="421"/>
      <c r="I45" s="420">
        <f>COUNTIF(J11:J43, "N")</f>
        <v>0</v>
      </c>
      <c r="J45" s="421"/>
    </row>
    <row r="46" spans="1:10" ht="16.5" thickTop="1" thickBot="1">
      <c r="A46" s="447" t="s">
        <v>404</v>
      </c>
      <c r="B46" s="448"/>
      <c r="C46" s="448"/>
      <c r="D46" s="448"/>
      <c r="E46" s="448"/>
      <c r="F46" s="448"/>
      <c r="G46" s="448"/>
      <c r="H46" s="448"/>
      <c r="I46" s="448"/>
      <c r="J46" s="449"/>
    </row>
    <row r="47" spans="1:10" ht="16.5" thickTop="1" thickBot="1">
      <c r="A47" s="426" t="s">
        <v>405</v>
      </c>
      <c r="B47" s="427"/>
      <c r="C47" s="427"/>
      <c r="D47" s="427"/>
      <c r="E47" s="428"/>
      <c r="F47" s="3">
        <v>1</v>
      </c>
      <c r="G47" s="3">
        <v>2</v>
      </c>
      <c r="H47" s="3">
        <v>3</v>
      </c>
      <c r="I47" s="3">
        <v>4</v>
      </c>
      <c r="J47" s="3">
        <v>5</v>
      </c>
    </row>
    <row r="48" spans="1:10" ht="16.5" thickTop="1" thickBot="1">
      <c r="A48" s="429"/>
      <c r="B48" s="430"/>
      <c r="C48" s="430"/>
      <c r="D48" s="430"/>
      <c r="E48" s="431"/>
      <c r="F48" s="173"/>
      <c r="G48" s="173"/>
      <c r="H48" s="173"/>
      <c r="I48" s="173"/>
      <c r="J48" s="173"/>
    </row>
    <row r="49" spans="1:10" ht="16.5" thickTop="1" thickBot="1">
      <c r="A49" s="529" t="s">
        <v>940</v>
      </c>
      <c r="B49" s="530"/>
      <c r="C49" s="530"/>
      <c r="D49" s="530"/>
      <c r="E49" s="531"/>
      <c r="F49" s="3">
        <v>6</v>
      </c>
      <c r="G49" s="3">
        <v>7</v>
      </c>
      <c r="H49" s="3">
        <v>8</v>
      </c>
      <c r="I49" s="412"/>
      <c r="J49" s="413"/>
    </row>
    <row r="50" spans="1:10" ht="16.5" thickTop="1" thickBot="1">
      <c r="A50" s="529"/>
      <c r="B50" s="530"/>
      <c r="C50" s="530"/>
      <c r="D50" s="530"/>
      <c r="E50" s="531"/>
      <c r="F50" s="173"/>
      <c r="G50" s="173"/>
      <c r="H50" s="173"/>
      <c r="I50" s="414"/>
      <c r="J50" s="415"/>
    </row>
    <row r="51" spans="1:10" ht="16" thickTop="1">
      <c r="A51" s="529"/>
      <c r="B51" s="530"/>
      <c r="C51" s="530"/>
      <c r="D51" s="530"/>
      <c r="E51" s="531"/>
      <c r="F51" s="414"/>
      <c r="G51" s="416"/>
      <c r="H51" s="416"/>
      <c r="I51" s="416"/>
      <c r="J51" s="415"/>
    </row>
    <row r="52" spans="1:10">
      <c r="A52" s="434" t="s">
        <v>941</v>
      </c>
      <c r="B52" s="435"/>
      <c r="C52" s="435"/>
      <c r="D52" s="435"/>
      <c r="E52" s="436"/>
      <c r="F52" s="414"/>
      <c r="G52" s="416"/>
      <c r="H52" s="416"/>
      <c r="I52" s="416"/>
      <c r="J52" s="415"/>
    </row>
    <row r="53" spans="1:10">
      <c r="A53" s="434"/>
      <c r="B53" s="435"/>
      <c r="C53" s="435"/>
      <c r="D53" s="435"/>
      <c r="E53" s="436"/>
      <c r="F53" s="414"/>
      <c r="G53" s="416"/>
      <c r="H53" s="416"/>
      <c r="I53" s="416"/>
      <c r="J53" s="415"/>
    </row>
    <row r="54" spans="1:10">
      <c r="A54" s="461" t="s">
        <v>975</v>
      </c>
      <c r="B54" s="462"/>
      <c r="C54" s="462"/>
      <c r="D54" s="462"/>
      <c r="E54" s="463"/>
      <c r="F54" s="414"/>
      <c r="G54" s="416"/>
      <c r="H54" s="416"/>
      <c r="I54" s="416"/>
      <c r="J54" s="415"/>
    </row>
    <row r="55" spans="1:10">
      <c r="A55" s="461"/>
      <c r="B55" s="462"/>
      <c r="C55" s="462"/>
      <c r="D55" s="462"/>
      <c r="E55" s="463"/>
      <c r="F55" s="414"/>
      <c r="G55" s="416"/>
      <c r="H55" s="416"/>
      <c r="I55" s="416"/>
      <c r="J55" s="415"/>
    </row>
    <row r="56" spans="1:10">
      <c r="A56" s="461"/>
      <c r="B56" s="462"/>
      <c r="C56" s="462"/>
      <c r="D56" s="462"/>
      <c r="E56" s="463"/>
      <c r="F56" s="414"/>
      <c r="G56" s="416"/>
      <c r="H56" s="416"/>
      <c r="I56" s="416"/>
      <c r="J56" s="415"/>
    </row>
    <row r="57" spans="1:10">
      <c r="A57" s="461"/>
      <c r="B57" s="462"/>
      <c r="C57" s="462"/>
      <c r="D57" s="462"/>
      <c r="E57" s="463"/>
      <c r="F57" s="414"/>
      <c r="G57" s="416"/>
      <c r="H57" s="416"/>
      <c r="I57" s="416"/>
      <c r="J57" s="415"/>
    </row>
    <row r="58" spans="1:10" ht="16" thickBot="1">
      <c r="A58" s="464"/>
      <c r="B58" s="465"/>
      <c r="C58" s="465"/>
      <c r="D58" s="465"/>
      <c r="E58" s="466"/>
      <c r="F58" s="417"/>
      <c r="G58" s="418"/>
      <c r="H58" s="418"/>
      <c r="I58" s="418"/>
      <c r="J58" s="419"/>
    </row>
    <row r="59" spans="1:10" ht="16.5" thickTop="1" thickBot="1">
      <c r="A59" s="432" t="s">
        <v>19</v>
      </c>
      <c r="B59" s="422"/>
      <c r="C59" s="422"/>
      <c r="D59" s="422"/>
      <c r="E59" s="422"/>
      <c r="F59" s="423"/>
      <c r="G59" s="437" t="s">
        <v>17</v>
      </c>
      <c r="H59" s="438"/>
      <c r="I59" s="437" t="s">
        <v>18</v>
      </c>
      <c r="J59" s="438"/>
    </row>
    <row r="60" spans="1:10" ht="16.5" thickTop="1" thickBot="1">
      <c r="A60" s="433"/>
      <c r="B60" s="424"/>
      <c r="C60" s="424"/>
      <c r="D60" s="424"/>
      <c r="E60" s="424"/>
      <c r="F60" s="425"/>
      <c r="G60" s="420">
        <f>COUNTIF(F48:J58, "Y")</f>
        <v>0</v>
      </c>
      <c r="H60" s="421"/>
      <c r="I60" s="420">
        <f>COUNTIF(F48:J58, "N")</f>
        <v>0</v>
      </c>
      <c r="J60" s="421"/>
    </row>
    <row r="61" spans="1:10" ht="16.5" thickTop="1" thickBot="1">
      <c r="A61" s="426" t="s">
        <v>406</v>
      </c>
      <c r="B61" s="427"/>
      <c r="C61" s="427"/>
      <c r="D61" s="427"/>
      <c r="E61" s="428"/>
      <c r="F61" s="3">
        <v>1</v>
      </c>
      <c r="G61" s="3">
        <v>2</v>
      </c>
      <c r="H61" s="3">
        <v>3</v>
      </c>
      <c r="I61" s="3">
        <v>4</v>
      </c>
      <c r="J61" s="3">
        <v>5</v>
      </c>
    </row>
    <row r="62" spans="1:10" ht="16.5" thickTop="1" thickBot="1">
      <c r="A62" s="429"/>
      <c r="B62" s="430"/>
      <c r="C62" s="430"/>
      <c r="D62" s="430"/>
      <c r="E62" s="431"/>
      <c r="F62" s="173"/>
      <c r="G62" s="173"/>
      <c r="H62" s="173"/>
      <c r="I62" s="173"/>
      <c r="J62" s="173"/>
    </row>
    <row r="63" spans="1:10" ht="16.5" thickTop="1" thickBot="1">
      <c r="A63" s="429"/>
      <c r="B63" s="430"/>
      <c r="C63" s="430"/>
      <c r="D63" s="430"/>
      <c r="E63" s="431"/>
      <c r="F63" s="3">
        <v>6</v>
      </c>
      <c r="G63" s="3">
        <v>7</v>
      </c>
      <c r="H63" s="3">
        <v>8</v>
      </c>
      <c r="I63" s="412"/>
      <c r="J63" s="413"/>
    </row>
    <row r="64" spans="1:10" ht="16.5" thickTop="1" thickBot="1">
      <c r="A64" s="429"/>
      <c r="B64" s="430"/>
      <c r="C64" s="430"/>
      <c r="D64" s="430"/>
      <c r="E64" s="431"/>
      <c r="F64" s="173"/>
      <c r="G64" s="173"/>
      <c r="H64" s="173"/>
      <c r="I64" s="414"/>
      <c r="J64" s="415"/>
    </row>
    <row r="65" spans="1:10" ht="16" thickTop="1">
      <c r="A65" s="439" t="s">
        <v>1085</v>
      </c>
      <c r="B65" s="440"/>
      <c r="C65" s="440"/>
      <c r="D65" s="440"/>
      <c r="E65" s="441"/>
      <c r="F65" s="414"/>
      <c r="G65" s="416"/>
      <c r="H65" s="416"/>
      <c r="I65" s="416"/>
      <c r="J65" s="415"/>
    </row>
    <row r="66" spans="1:10">
      <c r="A66" s="439"/>
      <c r="B66" s="440"/>
      <c r="C66" s="440"/>
      <c r="D66" s="440"/>
      <c r="E66" s="441"/>
      <c r="F66" s="414"/>
      <c r="G66" s="416"/>
      <c r="H66" s="416"/>
      <c r="I66" s="416"/>
      <c r="J66" s="415"/>
    </row>
    <row r="67" spans="1:10">
      <c r="A67" s="439"/>
      <c r="B67" s="440"/>
      <c r="C67" s="440"/>
      <c r="D67" s="440"/>
      <c r="E67" s="441"/>
      <c r="F67" s="414"/>
      <c r="G67" s="416"/>
      <c r="H67" s="416"/>
      <c r="I67" s="416"/>
      <c r="J67" s="415"/>
    </row>
    <row r="68" spans="1:10">
      <c r="A68" s="439" t="s">
        <v>942</v>
      </c>
      <c r="B68" s="440"/>
      <c r="C68" s="440"/>
      <c r="D68" s="440"/>
      <c r="E68" s="441"/>
      <c r="F68" s="414"/>
      <c r="G68" s="416"/>
      <c r="H68" s="416"/>
      <c r="I68" s="416"/>
      <c r="J68" s="415"/>
    </row>
    <row r="69" spans="1:10" ht="30.75" customHeight="1">
      <c r="A69" s="439"/>
      <c r="B69" s="440"/>
      <c r="C69" s="440"/>
      <c r="D69" s="440"/>
      <c r="E69" s="441"/>
      <c r="F69" s="414"/>
      <c r="G69" s="416"/>
      <c r="H69" s="416"/>
      <c r="I69" s="416"/>
      <c r="J69" s="415"/>
    </row>
    <row r="70" spans="1:10">
      <c r="A70" s="461" t="s">
        <v>976</v>
      </c>
      <c r="B70" s="462"/>
      <c r="C70" s="462"/>
      <c r="D70" s="462"/>
      <c r="E70" s="463"/>
      <c r="F70" s="414"/>
      <c r="G70" s="416"/>
      <c r="H70" s="416"/>
      <c r="I70" s="416"/>
      <c r="J70" s="415"/>
    </row>
    <row r="71" spans="1:10">
      <c r="A71" s="461"/>
      <c r="B71" s="462"/>
      <c r="C71" s="462"/>
      <c r="D71" s="462"/>
      <c r="E71" s="463"/>
      <c r="F71" s="414"/>
      <c r="G71" s="416"/>
      <c r="H71" s="416"/>
      <c r="I71" s="416"/>
      <c r="J71" s="415"/>
    </row>
    <row r="72" spans="1:10" ht="16" thickBot="1">
      <c r="A72" s="464"/>
      <c r="B72" s="465"/>
      <c r="C72" s="465"/>
      <c r="D72" s="465"/>
      <c r="E72" s="466"/>
      <c r="F72" s="417"/>
      <c r="G72" s="418"/>
      <c r="H72" s="418"/>
      <c r="I72" s="418"/>
      <c r="J72" s="419"/>
    </row>
    <row r="73" spans="1:10" ht="16.5" thickTop="1" thickBot="1">
      <c r="A73" s="432" t="s">
        <v>19</v>
      </c>
      <c r="B73" s="422"/>
      <c r="C73" s="422"/>
      <c r="D73" s="422"/>
      <c r="E73" s="422"/>
      <c r="F73" s="423"/>
      <c r="G73" s="437" t="s">
        <v>17</v>
      </c>
      <c r="H73" s="438"/>
      <c r="I73" s="437" t="s">
        <v>18</v>
      </c>
      <c r="J73" s="438"/>
    </row>
    <row r="74" spans="1:10" ht="16.5" thickTop="1" thickBot="1">
      <c r="A74" s="433"/>
      <c r="B74" s="424"/>
      <c r="C74" s="424"/>
      <c r="D74" s="424"/>
      <c r="E74" s="424"/>
      <c r="F74" s="425"/>
      <c r="G74" s="420">
        <f>COUNTIF(F62:J72, "Y")</f>
        <v>0</v>
      </c>
      <c r="H74" s="421"/>
      <c r="I74" s="420">
        <f>COUNTIF(F62:J72, "N")</f>
        <v>0</v>
      </c>
      <c r="J74" s="421"/>
    </row>
    <row r="75" spans="1:10" ht="16.5" thickTop="1" thickBot="1">
      <c r="A75" s="458" t="s">
        <v>404</v>
      </c>
      <c r="B75" s="459"/>
      <c r="C75" s="459"/>
      <c r="D75" s="459"/>
      <c r="E75" s="459"/>
      <c r="F75" s="460"/>
      <c r="G75" s="437" t="s">
        <v>15</v>
      </c>
      <c r="H75" s="438"/>
      <c r="I75" s="437" t="s">
        <v>16</v>
      </c>
      <c r="J75" s="438"/>
    </row>
    <row r="76" spans="1:10" ht="16.5" thickTop="1" thickBot="1">
      <c r="A76" s="453"/>
      <c r="B76" s="454"/>
      <c r="C76" s="454"/>
      <c r="D76" s="454"/>
      <c r="E76" s="454"/>
      <c r="F76" s="455"/>
      <c r="G76" s="420">
        <f>SUM(G74,G60)</f>
        <v>0</v>
      </c>
      <c r="H76" s="421"/>
      <c r="I76" s="420">
        <f>SUM(I74,I60)</f>
        <v>0</v>
      </c>
      <c r="J76" s="421"/>
    </row>
    <row r="77" spans="1:10" ht="16" thickTop="1">
      <c r="A77" s="447" t="s">
        <v>407</v>
      </c>
      <c r="B77" s="448"/>
      <c r="C77" s="448"/>
      <c r="D77" s="448"/>
      <c r="E77" s="448"/>
      <c r="F77" s="448"/>
      <c r="G77" s="448"/>
      <c r="H77" s="448"/>
      <c r="I77" s="448"/>
      <c r="J77" s="449"/>
    </row>
    <row r="78" spans="1:10" ht="16" thickBot="1">
      <c r="A78" s="525" t="s">
        <v>1086</v>
      </c>
      <c r="B78" s="526"/>
      <c r="C78" s="526"/>
      <c r="D78" s="526"/>
      <c r="E78" s="526"/>
      <c r="F78" s="526"/>
      <c r="G78" s="526"/>
      <c r="H78" s="526"/>
      <c r="I78" s="526"/>
      <c r="J78" s="527"/>
    </row>
    <row r="79" spans="1:10" ht="16.5" thickTop="1" thickBot="1">
      <c r="A79" s="426" t="s">
        <v>408</v>
      </c>
      <c r="B79" s="427"/>
      <c r="C79" s="427"/>
      <c r="D79" s="427"/>
      <c r="E79" s="428"/>
      <c r="F79" s="3">
        <v>1</v>
      </c>
      <c r="G79" s="3">
        <v>2</v>
      </c>
      <c r="H79" s="3">
        <v>3</v>
      </c>
      <c r="I79" s="3">
        <v>4</v>
      </c>
      <c r="J79" s="3">
        <v>5</v>
      </c>
    </row>
    <row r="80" spans="1:10" ht="16.5" thickTop="1" thickBot="1">
      <c r="A80" s="429"/>
      <c r="B80" s="430"/>
      <c r="C80" s="430"/>
      <c r="D80" s="430"/>
      <c r="E80" s="431"/>
      <c r="F80" s="4" t="str">
        <f ca="1">IF('IWP01'!ContractNumber = "", "", IF('IWP01'!Std3dot1 = "", "E", 'IWP01'!Std3dot1))</f>
        <v/>
      </c>
      <c r="G80" s="4" t="str">
        <f ca="1">IF('IWP02'!ContractNumber = "", "", IF('IWP02'!Std3dot1 = "", "E", 'IWP02'!Std3dot1))</f>
        <v/>
      </c>
      <c r="H80" s="4" t="str">
        <f ca="1">IF('IWP03'!ContractNumber = "", "", IF('IWP03'!Std3dot1 = "", "E", 'IWP03'!Std3dot1))</f>
        <v/>
      </c>
      <c r="I80" s="4" t="str">
        <f ca="1">IF('IWP04'!ContractNumber = "", "", IF('IWP04'!Std3dot1 = "", "E", 'IWP04'!Std3dot1))</f>
        <v/>
      </c>
      <c r="J80" s="4" t="str">
        <f ca="1">IF('IWP05'!ContractNumber = "", "", IF('IWP05'!Std3dot1 = "", "E", 'IWP05'!Std3dot1))</f>
        <v/>
      </c>
    </row>
    <row r="81" spans="1:10" ht="16.5" thickTop="1" thickBot="1">
      <c r="A81" s="429"/>
      <c r="B81" s="430"/>
      <c r="C81" s="430"/>
      <c r="D81" s="430"/>
      <c r="E81" s="431"/>
      <c r="F81" s="3">
        <v>6</v>
      </c>
      <c r="G81" s="3">
        <v>7</v>
      </c>
      <c r="H81" s="3">
        <v>8</v>
      </c>
      <c r="I81" s="412"/>
      <c r="J81" s="413"/>
    </row>
    <row r="82" spans="1:10" ht="16.5" thickTop="1" thickBot="1">
      <c r="A82" s="429"/>
      <c r="B82" s="430"/>
      <c r="C82" s="430"/>
      <c r="D82" s="430"/>
      <c r="E82" s="431"/>
      <c r="F82" s="4" t="str">
        <f ca="1">IF('IWP06'!ContractNumber = "", "", IF('IWP06'!Std3dot1 = "", "E", 'IWP06'!Std3dot1))</f>
        <v/>
      </c>
      <c r="G82" s="4" t="str">
        <f ca="1">IF('IWP07'!ContractNumber = "", "", IF('IWP07'!Std3dot1 = "", "E", 'IWP07'!Std3dot1))</f>
        <v/>
      </c>
      <c r="H82" s="4" t="str">
        <f ca="1">IF('IWP08'!ContractNumber = "", "", IF('IWP08'!Std3dot1 = "", "E", 'IWP08'!Std3dot1))</f>
        <v/>
      </c>
      <c r="I82" s="414"/>
      <c r="J82" s="415"/>
    </row>
    <row r="83" spans="1:10" ht="16" thickTop="1">
      <c r="A83" s="461" t="s">
        <v>924</v>
      </c>
      <c r="B83" s="462"/>
      <c r="C83" s="462"/>
      <c r="D83" s="462"/>
      <c r="E83" s="463"/>
      <c r="F83" s="414"/>
      <c r="G83" s="416"/>
      <c r="H83" s="416"/>
      <c r="I83" s="416"/>
      <c r="J83" s="415"/>
    </row>
    <row r="84" spans="1:10">
      <c r="A84" s="461"/>
      <c r="B84" s="462"/>
      <c r="C84" s="462"/>
      <c r="D84" s="462"/>
      <c r="E84" s="463"/>
      <c r="F84" s="414"/>
      <c r="G84" s="416"/>
      <c r="H84" s="416"/>
      <c r="I84" s="416"/>
      <c r="J84" s="415"/>
    </row>
    <row r="85" spans="1:10">
      <c r="A85" s="461"/>
      <c r="B85" s="462"/>
      <c r="C85" s="462"/>
      <c r="D85" s="462"/>
      <c r="E85" s="463"/>
      <c r="F85" s="414"/>
      <c r="G85" s="416"/>
      <c r="H85" s="416"/>
      <c r="I85" s="416"/>
      <c r="J85" s="415"/>
    </row>
    <row r="86" spans="1:10">
      <c r="A86" s="461"/>
      <c r="B86" s="462"/>
      <c r="C86" s="462"/>
      <c r="D86" s="462"/>
      <c r="E86" s="463"/>
      <c r="F86" s="414"/>
      <c r="G86" s="416"/>
      <c r="H86" s="416"/>
      <c r="I86" s="416"/>
      <c r="J86" s="415"/>
    </row>
    <row r="87" spans="1:10">
      <c r="A87" s="461"/>
      <c r="B87" s="462"/>
      <c r="C87" s="462"/>
      <c r="D87" s="462"/>
      <c r="E87" s="463"/>
      <c r="F87" s="414"/>
      <c r="G87" s="416"/>
      <c r="H87" s="416"/>
      <c r="I87" s="416"/>
      <c r="J87" s="415"/>
    </row>
    <row r="88" spans="1:10">
      <c r="A88" s="461"/>
      <c r="B88" s="462"/>
      <c r="C88" s="462"/>
      <c r="D88" s="462"/>
      <c r="E88" s="463"/>
      <c r="F88" s="414"/>
      <c r="G88" s="416"/>
      <c r="H88" s="416"/>
      <c r="I88" s="416"/>
      <c r="J88" s="415"/>
    </row>
    <row r="89" spans="1:10">
      <c r="A89" s="461"/>
      <c r="B89" s="462"/>
      <c r="C89" s="462"/>
      <c r="D89" s="462"/>
      <c r="E89" s="463"/>
      <c r="F89" s="414"/>
      <c r="G89" s="416"/>
      <c r="H89" s="416"/>
      <c r="I89" s="416"/>
      <c r="J89" s="415"/>
    </row>
    <row r="90" spans="1:10" ht="16" thickBot="1">
      <c r="A90" s="464"/>
      <c r="B90" s="465"/>
      <c r="C90" s="465"/>
      <c r="D90" s="465"/>
      <c r="E90" s="466"/>
      <c r="F90" s="417"/>
      <c r="G90" s="418"/>
      <c r="H90" s="418"/>
      <c r="I90" s="418"/>
      <c r="J90" s="419"/>
    </row>
    <row r="91" spans="1:10" ht="16.5" thickTop="1" thickBot="1">
      <c r="A91" s="432" t="s">
        <v>19</v>
      </c>
      <c r="B91" s="422"/>
      <c r="C91" s="422"/>
      <c r="D91" s="422"/>
      <c r="E91" s="422"/>
      <c r="F91" s="423"/>
      <c r="G91" s="437" t="s">
        <v>17</v>
      </c>
      <c r="H91" s="438"/>
      <c r="I91" s="437" t="s">
        <v>18</v>
      </c>
      <c r="J91" s="438"/>
    </row>
    <row r="92" spans="1:10" ht="16.5" thickTop="1" thickBot="1">
      <c r="A92" s="433"/>
      <c r="B92" s="424"/>
      <c r="C92" s="424"/>
      <c r="D92" s="424"/>
      <c r="E92" s="424"/>
      <c r="F92" s="425"/>
      <c r="G92" s="420">
        <f ca="1">COUNTIF(F80:J90, "Y")</f>
        <v>0</v>
      </c>
      <c r="H92" s="421"/>
      <c r="I92" s="420">
        <f ca="1">COUNTIF(F80:J90, "N")</f>
        <v>0</v>
      </c>
      <c r="J92" s="421"/>
    </row>
    <row r="93" spans="1:10" ht="16.5" thickTop="1" thickBot="1">
      <c r="A93" s="426" t="s">
        <v>409</v>
      </c>
      <c r="B93" s="427"/>
      <c r="C93" s="427"/>
      <c r="D93" s="427"/>
      <c r="E93" s="428"/>
      <c r="F93" s="3">
        <v>1</v>
      </c>
      <c r="G93" s="3">
        <v>2</v>
      </c>
      <c r="H93" s="3">
        <v>3</v>
      </c>
      <c r="I93" s="3">
        <v>4</v>
      </c>
      <c r="J93" s="3">
        <v>5</v>
      </c>
    </row>
    <row r="94" spans="1:10" ht="16.5" thickTop="1" thickBot="1">
      <c r="A94" s="429"/>
      <c r="B94" s="430"/>
      <c r="C94" s="430"/>
      <c r="D94" s="430"/>
      <c r="E94" s="431"/>
      <c r="F94" s="4" t="str">
        <f ca="1">IF('IWP01'!ContractNumber = "", "", IF('IWP01'!Std3dot2 = "", "E", 'IWP01'!Std3dot2))</f>
        <v/>
      </c>
      <c r="G94" s="4" t="str">
        <f ca="1">IF('IWP02'!ContractNumber = "", "", IF('IWP02'!Std3dot2 = "", "E", 'IWP02'!Std3dot2))</f>
        <v/>
      </c>
      <c r="H94" s="4" t="str">
        <f ca="1">IF('IWP03'!ContractNumber = "", "", IF('IWP03'!Std3dot2 = "", "E", 'IWP03'!Std3dot2))</f>
        <v/>
      </c>
      <c r="I94" s="4" t="str">
        <f ca="1">IF('IWP04'!ContractNumber = "", "", IF('IWP04'!Std3dot2 = "", "E", 'IWP04'!Std3dot2))</f>
        <v/>
      </c>
      <c r="J94" s="4" t="str">
        <f ca="1">IF('IWP05'!ContractNumber = "", "", IF('IWP05'!Std3dot2 = "", "E", 'IWP05'!Std3dot2))</f>
        <v/>
      </c>
    </row>
    <row r="95" spans="1:10" ht="16.5" thickTop="1" thickBot="1">
      <c r="A95" s="429"/>
      <c r="B95" s="430"/>
      <c r="C95" s="430"/>
      <c r="D95" s="430"/>
      <c r="E95" s="431"/>
      <c r="F95" s="3">
        <v>6</v>
      </c>
      <c r="G95" s="3">
        <v>7</v>
      </c>
      <c r="H95" s="3">
        <v>8</v>
      </c>
      <c r="I95" s="412"/>
      <c r="J95" s="413"/>
    </row>
    <row r="96" spans="1:10" ht="16.5" thickTop="1" thickBot="1">
      <c r="A96" s="429"/>
      <c r="B96" s="430"/>
      <c r="C96" s="430"/>
      <c r="D96" s="430"/>
      <c r="E96" s="431"/>
      <c r="F96" s="4" t="str">
        <f ca="1">IF('IWP06'!ContractNumber = "", "", IF('IWP06'!Std3dot2 = "", "E", 'IWP06'!Std3dot2))</f>
        <v/>
      </c>
      <c r="G96" s="4" t="str">
        <f ca="1">IF('IWP07'!ContractNumber = "", "", IF('IWP07'!Std3dot2 = "", "E", 'IWP07'!Std3dot2))</f>
        <v/>
      </c>
      <c r="H96" s="4" t="str">
        <f ca="1">IF('IWP08'!ContractNumber = "", "", IF('IWP08'!Std3dot2 = "", "E", 'IWP08'!Std3dot2))</f>
        <v/>
      </c>
      <c r="I96" s="414"/>
      <c r="J96" s="415"/>
    </row>
    <row r="97" spans="1:10" ht="16" thickTop="1">
      <c r="A97" s="461" t="s">
        <v>977</v>
      </c>
      <c r="B97" s="462"/>
      <c r="C97" s="462"/>
      <c r="D97" s="462"/>
      <c r="E97" s="463"/>
      <c r="F97" s="414"/>
      <c r="G97" s="416"/>
      <c r="H97" s="416"/>
      <c r="I97" s="416"/>
      <c r="J97" s="415"/>
    </row>
    <row r="98" spans="1:10">
      <c r="A98" s="461"/>
      <c r="B98" s="462"/>
      <c r="C98" s="462"/>
      <c r="D98" s="462"/>
      <c r="E98" s="463"/>
      <c r="F98" s="414"/>
      <c r="G98" s="416"/>
      <c r="H98" s="416"/>
      <c r="I98" s="416"/>
      <c r="J98" s="415"/>
    </row>
    <row r="99" spans="1:10">
      <c r="A99" s="461"/>
      <c r="B99" s="462"/>
      <c r="C99" s="462"/>
      <c r="D99" s="462"/>
      <c r="E99" s="463"/>
      <c r="F99" s="414"/>
      <c r="G99" s="416"/>
      <c r="H99" s="416"/>
      <c r="I99" s="416"/>
      <c r="J99" s="415"/>
    </row>
    <row r="100" spans="1:10">
      <c r="A100" s="461"/>
      <c r="B100" s="462"/>
      <c r="C100" s="462"/>
      <c r="D100" s="462"/>
      <c r="E100" s="463"/>
      <c r="F100" s="414"/>
      <c r="G100" s="416"/>
      <c r="H100" s="416"/>
      <c r="I100" s="416"/>
      <c r="J100" s="415"/>
    </row>
    <row r="101" spans="1:10">
      <c r="A101" s="461"/>
      <c r="B101" s="462"/>
      <c r="C101" s="462"/>
      <c r="D101" s="462"/>
      <c r="E101" s="463"/>
      <c r="F101" s="414"/>
      <c r="G101" s="416"/>
      <c r="H101" s="416"/>
      <c r="I101" s="416"/>
      <c r="J101" s="415"/>
    </row>
    <row r="102" spans="1:10">
      <c r="A102" s="461"/>
      <c r="B102" s="462"/>
      <c r="C102" s="462"/>
      <c r="D102" s="462"/>
      <c r="E102" s="463"/>
      <c r="F102" s="414"/>
      <c r="G102" s="416"/>
      <c r="H102" s="416"/>
      <c r="I102" s="416"/>
      <c r="J102" s="415"/>
    </row>
    <row r="103" spans="1:10">
      <c r="A103" s="461"/>
      <c r="B103" s="462"/>
      <c r="C103" s="462"/>
      <c r="D103" s="462"/>
      <c r="E103" s="463"/>
      <c r="F103" s="414"/>
      <c r="G103" s="416"/>
      <c r="H103" s="416"/>
      <c r="I103" s="416"/>
      <c r="J103" s="415"/>
    </row>
    <row r="104" spans="1:10" ht="16" thickBot="1">
      <c r="A104" s="464"/>
      <c r="B104" s="465"/>
      <c r="C104" s="465"/>
      <c r="D104" s="465"/>
      <c r="E104" s="466"/>
      <c r="F104" s="417"/>
      <c r="G104" s="418"/>
      <c r="H104" s="418"/>
      <c r="I104" s="418"/>
      <c r="J104" s="419"/>
    </row>
    <row r="105" spans="1:10" ht="16.5" thickTop="1" thickBot="1">
      <c r="A105" s="432" t="s">
        <v>19</v>
      </c>
      <c r="B105" s="422"/>
      <c r="C105" s="422"/>
      <c r="D105" s="422"/>
      <c r="E105" s="422"/>
      <c r="F105" s="423"/>
      <c r="G105" s="437" t="s">
        <v>17</v>
      </c>
      <c r="H105" s="438"/>
      <c r="I105" s="437" t="s">
        <v>18</v>
      </c>
      <c r="J105" s="438"/>
    </row>
    <row r="106" spans="1:10" ht="16.5" thickTop="1" thickBot="1">
      <c r="A106" s="433"/>
      <c r="B106" s="424"/>
      <c r="C106" s="424"/>
      <c r="D106" s="424"/>
      <c r="E106" s="424"/>
      <c r="F106" s="425"/>
      <c r="G106" s="420">
        <f ca="1">COUNTIF(F94:J104, "Y")</f>
        <v>0</v>
      </c>
      <c r="H106" s="421"/>
      <c r="I106" s="420">
        <f ca="1">COUNTIF(F94:J104, "N")</f>
        <v>0</v>
      </c>
      <c r="J106" s="421"/>
    </row>
    <row r="107" spans="1:10" ht="16.5" customHeight="1" thickTop="1" thickBot="1">
      <c r="A107" s="426" t="s">
        <v>1087</v>
      </c>
      <c r="B107" s="427"/>
      <c r="C107" s="427"/>
      <c r="D107" s="427"/>
      <c r="E107" s="428"/>
      <c r="F107" s="3">
        <v>1</v>
      </c>
      <c r="G107" s="3">
        <v>2</v>
      </c>
      <c r="H107" s="3">
        <v>3</v>
      </c>
      <c r="I107" s="3">
        <v>4</v>
      </c>
      <c r="J107" s="3">
        <v>5</v>
      </c>
    </row>
    <row r="108" spans="1:10" ht="16.5" thickTop="1" thickBot="1">
      <c r="A108" s="429"/>
      <c r="B108" s="430"/>
      <c r="C108" s="430"/>
      <c r="D108" s="430"/>
      <c r="E108" s="431"/>
      <c r="F108" s="4" t="str">
        <f ca="1">IF('IWP01'!ContractNumber = "", "", IF('IWP01'!Std3dot3 = "", "E", 'IWP01'!Std3dot3))</f>
        <v/>
      </c>
      <c r="G108" s="4" t="str">
        <f ca="1">IF('IWP02'!ContractNumber = "", "", IF('IWP02'!Std3dot3 = "", "E", 'IWP02'!Std3dot3))</f>
        <v/>
      </c>
      <c r="H108" s="4" t="str">
        <f ca="1">IF('IWP03'!ContractNumber = "", "", IF('IWP03'!Std3dot3 = "", "E", 'IWP03'!Std3dot3))</f>
        <v/>
      </c>
      <c r="I108" s="4" t="str">
        <f ca="1">IF('IWP04'!ContractNumber = "", "", IF('IWP04'!Std3dot3 = "", "E", 'IWP04'!Std3dot3))</f>
        <v/>
      </c>
      <c r="J108" s="4" t="str">
        <f ca="1">IF('IWP05'!ContractNumber = "", "", IF('IWP05'!Std3dot3 = "", "E", 'IWP05'!Std3dot3))</f>
        <v/>
      </c>
    </row>
    <row r="109" spans="1:10" ht="16.5" thickTop="1" thickBot="1">
      <c r="A109" s="429"/>
      <c r="B109" s="430"/>
      <c r="C109" s="430"/>
      <c r="D109" s="430"/>
      <c r="E109" s="431"/>
      <c r="F109" s="3">
        <v>6</v>
      </c>
      <c r="G109" s="3">
        <v>7</v>
      </c>
      <c r="H109" s="3">
        <v>8</v>
      </c>
      <c r="I109" s="412"/>
      <c r="J109" s="413"/>
    </row>
    <row r="110" spans="1:10" ht="16.5" thickTop="1" thickBot="1">
      <c r="A110" s="429"/>
      <c r="B110" s="430"/>
      <c r="C110" s="430"/>
      <c r="D110" s="430"/>
      <c r="E110" s="431"/>
      <c r="F110" s="4" t="str">
        <f ca="1">IF('IWP06'!ContractNumber = "", "", IF('IWP06'!Std3dot3 = "", "E", 'IWP06'!Std3dot3))</f>
        <v/>
      </c>
      <c r="G110" s="4" t="str">
        <f ca="1">IF('IWP07'!ContractNumber = "", "", IF('IWP07'!Std3dot3 = "", "E", 'IWP07'!Std3dot3))</f>
        <v/>
      </c>
      <c r="H110" s="4" t="str">
        <f ca="1">IF('IWP08'!ContractNumber = "", "", IF('IWP08'!Std3dot3 = "", "E", 'IWP08'!Std3dot3))</f>
        <v/>
      </c>
      <c r="I110" s="414"/>
      <c r="J110" s="415"/>
    </row>
    <row r="111" spans="1:10" ht="15.75" customHeight="1" thickTop="1">
      <c r="A111" s="461" t="s">
        <v>1132</v>
      </c>
      <c r="B111" s="462"/>
      <c r="C111" s="462"/>
      <c r="D111" s="462"/>
      <c r="E111" s="463"/>
      <c r="F111" s="414"/>
      <c r="G111" s="416"/>
      <c r="H111" s="416"/>
      <c r="I111" s="416"/>
      <c r="J111" s="415"/>
    </row>
    <row r="112" spans="1:10">
      <c r="A112" s="461"/>
      <c r="B112" s="462"/>
      <c r="C112" s="462"/>
      <c r="D112" s="462"/>
      <c r="E112" s="463"/>
      <c r="F112" s="414"/>
      <c r="G112" s="416"/>
      <c r="H112" s="416"/>
      <c r="I112" s="416"/>
      <c r="J112" s="415"/>
    </row>
    <row r="113" spans="1:10">
      <c r="A113" s="461"/>
      <c r="B113" s="462"/>
      <c r="C113" s="462"/>
      <c r="D113" s="462"/>
      <c r="E113" s="463"/>
      <c r="F113" s="414"/>
      <c r="G113" s="416"/>
      <c r="H113" s="416"/>
      <c r="I113" s="416"/>
      <c r="J113" s="415"/>
    </row>
    <row r="114" spans="1:10">
      <c r="A114" s="461"/>
      <c r="B114" s="462"/>
      <c r="C114" s="462"/>
      <c r="D114" s="462"/>
      <c r="E114" s="463"/>
      <c r="F114" s="414"/>
      <c r="G114" s="416"/>
      <c r="H114" s="416"/>
      <c r="I114" s="416"/>
      <c r="J114" s="415"/>
    </row>
    <row r="115" spans="1:10">
      <c r="A115" s="461"/>
      <c r="B115" s="462"/>
      <c r="C115" s="462"/>
      <c r="D115" s="462"/>
      <c r="E115" s="463"/>
      <c r="F115" s="414"/>
      <c r="G115" s="416"/>
      <c r="H115" s="416"/>
      <c r="I115" s="416"/>
      <c r="J115" s="415"/>
    </row>
    <row r="116" spans="1:10">
      <c r="A116" s="461"/>
      <c r="B116" s="462"/>
      <c r="C116" s="462"/>
      <c r="D116" s="462"/>
      <c r="E116" s="463"/>
      <c r="F116" s="414"/>
      <c r="G116" s="416"/>
      <c r="H116" s="416"/>
      <c r="I116" s="416"/>
      <c r="J116" s="415"/>
    </row>
    <row r="117" spans="1:10">
      <c r="A117" s="461"/>
      <c r="B117" s="462"/>
      <c r="C117" s="462"/>
      <c r="D117" s="462"/>
      <c r="E117" s="463"/>
      <c r="F117" s="414"/>
      <c r="G117" s="416"/>
      <c r="H117" s="416"/>
      <c r="I117" s="416"/>
      <c r="J117" s="415"/>
    </row>
    <row r="118" spans="1:10" ht="16" thickBot="1">
      <c r="A118" s="464"/>
      <c r="B118" s="465"/>
      <c r="C118" s="465"/>
      <c r="D118" s="465"/>
      <c r="E118" s="466"/>
      <c r="F118" s="417"/>
      <c r="G118" s="418"/>
      <c r="H118" s="418"/>
      <c r="I118" s="418"/>
      <c r="J118" s="419"/>
    </row>
    <row r="119" spans="1:10" ht="16.5" customHeight="1" thickTop="1" thickBot="1">
      <c r="A119" s="432" t="s">
        <v>19</v>
      </c>
      <c r="B119" s="422"/>
      <c r="C119" s="422"/>
      <c r="D119" s="422"/>
      <c r="E119" s="422"/>
      <c r="F119" s="423"/>
      <c r="G119" s="437" t="s">
        <v>17</v>
      </c>
      <c r="H119" s="438"/>
      <c r="I119" s="437" t="s">
        <v>18</v>
      </c>
      <c r="J119" s="438"/>
    </row>
    <row r="120" spans="1:10" ht="16.5" thickTop="1" thickBot="1">
      <c r="A120" s="433"/>
      <c r="B120" s="424"/>
      <c r="C120" s="424"/>
      <c r="D120" s="424"/>
      <c r="E120" s="424"/>
      <c r="F120" s="425"/>
      <c r="G120" s="420">
        <f ca="1">COUNTIF(F108:J118, "Y")</f>
        <v>0</v>
      </c>
      <c r="H120" s="421"/>
      <c r="I120" s="420">
        <f ca="1">COUNTIF(F108:J118, "N")</f>
        <v>0</v>
      </c>
      <c r="J120" s="421"/>
    </row>
    <row r="121" spans="1:10" ht="16.5" customHeight="1" thickTop="1" thickBot="1">
      <c r="A121" s="426" t="s">
        <v>1088</v>
      </c>
      <c r="B121" s="427"/>
      <c r="C121" s="427"/>
      <c r="D121" s="427"/>
      <c r="E121" s="428"/>
      <c r="F121" s="3">
        <v>1</v>
      </c>
      <c r="G121" s="3">
        <v>2</v>
      </c>
      <c r="H121" s="3">
        <v>3</v>
      </c>
      <c r="I121" s="3">
        <v>4</v>
      </c>
      <c r="J121" s="3">
        <v>5</v>
      </c>
    </row>
    <row r="122" spans="1:10" ht="16.5" thickTop="1" thickBot="1">
      <c r="A122" s="429"/>
      <c r="B122" s="430"/>
      <c r="C122" s="430"/>
      <c r="D122" s="430"/>
      <c r="E122" s="431"/>
      <c r="F122" s="4" t="str">
        <f ca="1">IF('IWP01'!ContractNumber = "", "", IF('IWP01'!Std3dot4 = "", "E", 'IWP01'!Std3dot4))</f>
        <v/>
      </c>
      <c r="G122" s="4" t="str">
        <f ca="1">IF('IWP02'!ContractNumber = "", "", IF('IWP02'!Std3dot4 = "", "E", 'IWP02'!Std3dot4))</f>
        <v/>
      </c>
      <c r="H122" s="4" t="str">
        <f ca="1">IF('IWP03'!ContractNumber = "", "", IF('IWP03'!Std3dot4 = "", "E", 'IWP03'!Std3dot4))</f>
        <v/>
      </c>
      <c r="I122" s="4" t="str">
        <f ca="1">IF('IWP04'!ContractNumber = "", "", IF('IWP04'!Std3dot4 = "", "E", 'IWP04'!Std3dot4))</f>
        <v/>
      </c>
      <c r="J122" s="4" t="str">
        <f ca="1">IF('IWP05'!ContractNumber = "", "", IF('IWP05'!Std3dot4 = "", "E", 'IWP05'!Std3dot4))</f>
        <v/>
      </c>
    </row>
    <row r="123" spans="1:10" ht="16.5" thickTop="1" thickBot="1">
      <c r="A123" s="429"/>
      <c r="B123" s="430"/>
      <c r="C123" s="430"/>
      <c r="D123" s="430"/>
      <c r="E123" s="431"/>
      <c r="F123" s="3">
        <v>6</v>
      </c>
      <c r="G123" s="3">
        <v>7</v>
      </c>
      <c r="H123" s="3">
        <v>8</v>
      </c>
      <c r="I123" s="412"/>
      <c r="J123" s="413"/>
    </row>
    <row r="124" spans="1:10" ht="16.5" thickTop="1" thickBot="1">
      <c r="A124" s="429"/>
      <c r="B124" s="430"/>
      <c r="C124" s="430"/>
      <c r="D124" s="430"/>
      <c r="E124" s="431"/>
      <c r="F124" s="4" t="str">
        <f ca="1">IF('IWP06'!ContractNumber = "", "", IF('IWP06'!Std3dot4 = "", "E", 'IWP06'!Std3dot4))</f>
        <v/>
      </c>
      <c r="G124" s="4" t="str">
        <f ca="1">IF('IWP07'!ContractNumber = "", "", IF('IWP07'!Std3dot4 = "", "E", 'IWP07'!Std3dot4))</f>
        <v/>
      </c>
      <c r="H124" s="4" t="str">
        <f ca="1">IF('IWP08'!ContractNumber = "", "", IF('IWP08'!Std3dot4 = "", "E", 'IWP08'!Std3dot4))</f>
        <v/>
      </c>
      <c r="I124" s="414"/>
      <c r="J124" s="415"/>
    </row>
    <row r="125" spans="1:10" ht="15.75" customHeight="1" thickTop="1">
      <c r="A125" s="461" t="s">
        <v>1132</v>
      </c>
      <c r="B125" s="462"/>
      <c r="C125" s="462"/>
      <c r="D125" s="462"/>
      <c r="E125" s="463"/>
      <c r="F125" s="414"/>
      <c r="G125" s="416"/>
      <c r="H125" s="416"/>
      <c r="I125" s="416"/>
      <c r="J125" s="415"/>
    </row>
    <row r="126" spans="1:10">
      <c r="A126" s="461"/>
      <c r="B126" s="462"/>
      <c r="C126" s="462"/>
      <c r="D126" s="462"/>
      <c r="E126" s="463"/>
      <c r="F126" s="414"/>
      <c r="G126" s="416"/>
      <c r="H126" s="416"/>
      <c r="I126" s="416"/>
      <c r="J126" s="415"/>
    </row>
    <row r="127" spans="1:10">
      <c r="A127" s="461"/>
      <c r="B127" s="462"/>
      <c r="C127" s="462"/>
      <c r="D127" s="462"/>
      <c r="E127" s="463"/>
      <c r="F127" s="414"/>
      <c r="G127" s="416"/>
      <c r="H127" s="416"/>
      <c r="I127" s="416"/>
      <c r="J127" s="415"/>
    </row>
    <row r="128" spans="1:10">
      <c r="A128" s="461"/>
      <c r="B128" s="462"/>
      <c r="C128" s="462"/>
      <c r="D128" s="462"/>
      <c r="E128" s="463"/>
      <c r="F128" s="414"/>
      <c r="G128" s="416"/>
      <c r="H128" s="416"/>
      <c r="I128" s="416"/>
      <c r="J128" s="415"/>
    </row>
    <row r="129" spans="1:10">
      <c r="A129" s="461"/>
      <c r="B129" s="462"/>
      <c r="C129" s="462"/>
      <c r="D129" s="462"/>
      <c r="E129" s="463"/>
      <c r="F129" s="414"/>
      <c r="G129" s="416"/>
      <c r="H129" s="416"/>
      <c r="I129" s="416"/>
      <c r="J129" s="415"/>
    </row>
    <row r="130" spans="1:10">
      <c r="A130" s="461"/>
      <c r="B130" s="462"/>
      <c r="C130" s="462"/>
      <c r="D130" s="462"/>
      <c r="E130" s="463"/>
      <c r="F130" s="414"/>
      <c r="G130" s="416"/>
      <c r="H130" s="416"/>
      <c r="I130" s="416"/>
      <c r="J130" s="415"/>
    </row>
    <row r="131" spans="1:10">
      <c r="A131" s="461"/>
      <c r="B131" s="462"/>
      <c r="C131" s="462"/>
      <c r="D131" s="462"/>
      <c r="E131" s="463"/>
      <c r="F131" s="414"/>
      <c r="G131" s="416"/>
      <c r="H131" s="416"/>
      <c r="I131" s="416"/>
      <c r="J131" s="415"/>
    </row>
    <row r="132" spans="1:10" ht="16" thickBot="1">
      <c r="A132" s="464"/>
      <c r="B132" s="465"/>
      <c r="C132" s="465"/>
      <c r="D132" s="465"/>
      <c r="E132" s="466"/>
      <c r="F132" s="417"/>
      <c r="G132" s="418"/>
      <c r="H132" s="418"/>
      <c r="I132" s="418"/>
      <c r="J132" s="419"/>
    </row>
    <row r="133" spans="1:10" ht="16.5" customHeight="1" thickTop="1" thickBot="1">
      <c r="A133" s="432" t="s">
        <v>19</v>
      </c>
      <c r="B133" s="422"/>
      <c r="C133" s="422"/>
      <c r="D133" s="422"/>
      <c r="E133" s="422"/>
      <c r="F133" s="423"/>
      <c r="G133" s="437" t="s">
        <v>17</v>
      </c>
      <c r="H133" s="438"/>
      <c r="I133" s="437" t="s">
        <v>18</v>
      </c>
      <c r="J133" s="438"/>
    </row>
    <row r="134" spans="1:10" ht="16.5" thickTop="1" thickBot="1">
      <c r="A134" s="433"/>
      <c r="B134" s="424"/>
      <c r="C134" s="424"/>
      <c r="D134" s="424"/>
      <c r="E134" s="424"/>
      <c r="F134" s="425"/>
      <c r="G134" s="420">
        <f ca="1">COUNTIF(F122:J132, "Y")</f>
        <v>0</v>
      </c>
      <c r="H134" s="421"/>
      <c r="I134" s="420">
        <f ca="1">COUNTIF(F122:J132, "N")</f>
        <v>0</v>
      </c>
      <c r="J134" s="421"/>
    </row>
    <row r="135" spans="1:10" ht="16.5" thickTop="1" thickBot="1">
      <c r="A135" s="458" t="s">
        <v>407</v>
      </c>
      <c r="B135" s="459"/>
      <c r="C135" s="459"/>
      <c r="D135" s="459"/>
      <c r="E135" s="459"/>
      <c r="F135" s="460"/>
      <c r="G135" s="437" t="s">
        <v>15</v>
      </c>
      <c r="H135" s="438"/>
      <c r="I135" s="437" t="s">
        <v>16</v>
      </c>
      <c r="J135" s="438"/>
    </row>
    <row r="136" spans="1:10" ht="16.5" thickTop="1" thickBot="1">
      <c r="A136" s="453"/>
      <c r="B136" s="454"/>
      <c r="C136" s="454"/>
      <c r="D136" s="454"/>
      <c r="E136" s="454"/>
      <c r="F136" s="455"/>
      <c r="G136" s="420">
        <f ca="1">SUM(G134,G120,G106,G92)</f>
        <v>0</v>
      </c>
      <c r="H136" s="421"/>
      <c r="I136" s="420">
        <f ca="1">SUM(I134,I120,I106,I92)</f>
        <v>0</v>
      </c>
      <c r="J136" s="421"/>
    </row>
    <row r="137" spans="1:10" ht="16" thickTop="1">
      <c r="A137" s="447" t="s">
        <v>410</v>
      </c>
      <c r="B137" s="448"/>
      <c r="C137" s="448"/>
      <c r="D137" s="448"/>
      <c r="E137" s="448"/>
      <c r="F137" s="448"/>
      <c r="G137" s="448"/>
      <c r="H137" s="448"/>
      <c r="I137" s="448"/>
      <c r="J137" s="449"/>
    </row>
    <row r="138" spans="1:10" ht="16" thickBot="1">
      <c r="A138" s="525" t="s">
        <v>411</v>
      </c>
      <c r="B138" s="526"/>
      <c r="C138" s="526"/>
      <c r="D138" s="526"/>
      <c r="E138" s="526"/>
      <c r="F138" s="526"/>
      <c r="G138" s="526"/>
      <c r="H138" s="526"/>
      <c r="I138" s="526"/>
      <c r="J138" s="527"/>
    </row>
    <row r="139" spans="1:10" ht="16.5" thickTop="1" thickBot="1">
      <c r="A139" s="426" t="s">
        <v>412</v>
      </c>
      <c r="B139" s="427"/>
      <c r="C139" s="427"/>
      <c r="D139" s="427"/>
      <c r="E139" s="428"/>
      <c r="F139" s="3">
        <v>1</v>
      </c>
      <c r="G139" s="3">
        <v>2</v>
      </c>
      <c r="H139" s="3">
        <v>3</v>
      </c>
      <c r="I139" s="3">
        <v>4</v>
      </c>
      <c r="J139" s="3">
        <v>5</v>
      </c>
    </row>
    <row r="140" spans="1:10" ht="16.5" thickTop="1" thickBot="1">
      <c r="A140" s="429"/>
      <c r="B140" s="430"/>
      <c r="C140" s="430"/>
      <c r="D140" s="430"/>
      <c r="E140" s="431"/>
      <c r="F140" s="4" t="str">
        <f ca="1">IF('IWP01'!ContractNumber = "", "", IF('IWP01'!Std4dot1 = "", "E", 'IWP01'!Std4dot1))</f>
        <v/>
      </c>
      <c r="G140" s="4" t="str">
        <f ca="1">IF('IWP02'!ContractNumber = "", "", IF('IWP02'!Std4dot1 = "", "E", 'IWP02'!Std4dot1))</f>
        <v/>
      </c>
      <c r="H140" s="4" t="str">
        <f ca="1">IF('IWP03'!ContractNumber = "", "", IF('IWP03'!Std4dot1 = "", "E", 'IWP03'!Std4dot1))</f>
        <v/>
      </c>
      <c r="I140" s="4" t="str">
        <f ca="1">IF('IWP04'!ContractNumber = "", "", IF('IWP04'!Std4dot1 = "", "E", 'IWP04'!Std4dot1))</f>
        <v/>
      </c>
      <c r="J140" s="4" t="str">
        <f ca="1">IF('IWP05'!ContractNumber = "", "", IF('IWP05'!Std4dot1 = "", "E", 'IWP05'!Std4dot1))</f>
        <v/>
      </c>
    </row>
    <row r="141" spans="1:10" ht="16.5" thickTop="1" thickBot="1">
      <c r="A141" s="429"/>
      <c r="B141" s="430"/>
      <c r="C141" s="430"/>
      <c r="D141" s="430"/>
      <c r="E141" s="431"/>
      <c r="F141" s="3">
        <v>6</v>
      </c>
      <c r="G141" s="3">
        <v>7</v>
      </c>
      <c r="H141" s="3">
        <v>8</v>
      </c>
      <c r="I141" s="412"/>
      <c r="J141" s="413"/>
    </row>
    <row r="142" spans="1:10" ht="16.5" thickTop="1" thickBot="1">
      <c r="A142" s="429"/>
      <c r="B142" s="430"/>
      <c r="C142" s="430"/>
      <c r="D142" s="430"/>
      <c r="E142" s="431"/>
      <c r="F142" s="4" t="str">
        <f ca="1">IF('IWP06'!ContractNumber = "", "", IF('IWP06'!Std4dot1 = "", "E", 'IWP06'!Std4dot1))</f>
        <v/>
      </c>
      <c r="G142" s="4" t="str">
        <f ca="1">IF('IWP07'!ContractNumber = "", "", IF('IWP07'!Std4dot1 = "", "E", 'IWP07'!Std4dot1))</f>
        <v/>
      </c>
      <c r="H142" s="4" t="str">
        <f ca="1">IF('IWP08'!ContractNumber = "", "", IF('IWP08'!Std4dot1 = "", "E", 'IWP08'!Std4dot1))</f>
        <v/>
      </c>
      <c r="I142" s="414"/>
      <c r="J142" s="415"/>
    </row>
    <row r="143" spans="1:10" ht="16" thickTop="1">
      <c r="A143" s="461" t="s">
        <v>978</v>
      </c>
      <c r="B143" s="462"/>
      <c r="C143" s="462"/>
      <c r="D143" s="462"/>
      <c r="E143" s="463"/>
      <c r="F143" s="414"/>
      <c r="G143" s="416"/>
      <c r="H143" s="416"/>
      <c r="I143" s="416"/>
      <c r="J143" s="415"/>
    </row>
    <row r="144" spans="1:10">
      <c r="A144" s="461"/>
      <c r="B144" s="462"/>
      <c r="C144" s="462"/>
      <c r="D144" s="462"/>
      <c r="E144" s="463"/>
      <c r="F144" s="414"/>
      <c r="G144" s="416"/>
      <c r="H144" s="416"/>
      <c r="I144" s="416"/>
      <c r="J144" s="415"/>
    </row>
    <row r="145" spans="1:10">
      <c r="A145" s="461"/>
      <c r="B145" s="462"/>
      <c r="C145" s="462"/>
      <c r="D145" s="462"/>
      <c r="E145" s="463"/>
      <c r="F145" s="414"/>
      <c r="G145" s="416"/>
      <c r="H145" s="416"/>
      <c r="I145" s="416"/>
      <c r="J145" s="415"/>
    </row>
    <row r="146" spans="1:10">
      <c r="A146" s="461"/>
      <c r="B146" s="462"/>
      <c r="C146" s="462"/>
      <c r="D146" s="462"/>
      <c r="E146" s="463"/>
      <c r="F146" s="414"/>
      <c r="G146" s="416"/>
      <c r="H146" s="416"/>
      <c r="I146" s="416"/>
      <c r="J146" s="415"/>
    </row>
    <row r="147" spans="1:10">
      <c r="A147" s="461"/>
      <c r="B147" s="462"/>
      <c r="C147" s="462"/>
      <c r="D147" s="462"/>
      <c r="E147" s="463"/>
      <c r="F147" s="414"/>
      <c r="G147" s="416"/>
      <c r="H147" s="416"/>
      <c r="I147" s="416"/>
      <c r="J147" s="415"/>
    </row>
    <row r="148" spans="1:10">
      <c r="A148" s="461"/>
      <c r="B148" s="462"/>
      <c r="C148" s="462"/>
      <c r="D148" s="462"/>
      <c r="E148" s="463"/>
      <c r="F148" s="414"/>
      <c r="G148" s="416"/>
      <c r="H148" s="416"/>
      <c r="I148" s="416"/>
      <c r="J148" s="415"/>
    </row>
    <row r="149" spans="1:10">
      <c r="A149" s="461"/>
      <c r="B149" s="462"/>
      <c r="C149" s="462"/>
      <c r="D149" s="462"/>
      <c r="E149" s="463"/>
      <c r="F149" s="414"/>
      <c r="G149" s="416"/>
      <c r="H149" s="416"/>
      <c r="I149" s="416"/>
      <c r="J149" s="415"/>
    </row>
    <row r="150" spans="1:10" ht="16" thickBot="1">
      <c r="A150" s="464"/>
      <c r="B150" s="465"/>
      <c r="C150" s="465"/>
      <c r="D150" s="465"/>
      <c r="E150" s="466"/>
      <c r="F150" s="417"/>
      <c r="G150" s="418"/>
      <c r="H150" s="418"/>
      <c r="I150" s="418"/>
      <c r="J150" s="419"/>
    </row>
    <row r="151" spans="1:10" ht="16.5" thickTop="1" thickBot="1">
      <c r="A151" s="138" t="s">
        <v>14</v>
      </c>
      <c r="B151" s="565"/>
      <c r="C151" s="565"/>
      <c r="D151" s="565"/>
      <c r="E151" s="565"/>
      <c r="F151" s="566"/>
      <c r="G151" s="437" t="s">
        <v>15</v>
      </c>
      <c r="H151" s="438"/>
      <c r="I151" s="437" t="s">
        <v>16</v>
      </c>
      <c r="J151" s="438"/>
    </row>
    <row r="152" spans="1:10" ht="16.5" thickTop="1" thickBot="1">
      <c r="A152" s="453"/>
      <c r="B152" s="454"/>
      <c r="C152" s="454"/>
      <c r="D152" s="454"/>
      <c r="E152" s="454"/>
      <c r="F152" s="455"/>
      <c r="G152" s="420">
        <f ca="1">COUNTIF(F140:J150, "Y")</f>
        <v>0</v>
      </c>
      <c r="H152" s="421"/>
      <c r="I152" s="420">
        <f ca="1">COUNTIF(F140:J150, "N")</f>
        <v>0</v>
      </c>
      <c r="J152" s="421"/>
    </row>
    <row r="153" spans="1:10" ht="16" thickTop="1">
      <c r="A153" s="447" t="s">
        <v>85</v>
      </c>
      <c r="B153" s="448"/>
      <c r="C153" s="448"/>
      <c r="D153" s="448"/>
      <c r="E153" s="448"/>
      <c r="F153" s="448"/>
      <c r="G153" s="448"/>
      <c r="H153" s="448"/>
      <c r="I153" s="448"/>
      <c r="J153" s="449"/>
    </row>
    <row r="154" spans="1:10" ht="16" thickBot="1">
      <c r="A154" s="525" t="s">
        <v>1089</v>
      </c>
      <c r="B154" s="526"/>
      <c r="C154" s="526"/>
      <c r="D154" s="526"/>
      <c r="E154" s="526"/>
      <c r="F154" s="526"/>
      <c r="G154" s="526"/>
      <c r="H154" s="526"/>
      <c r="I154" s="526"/>
      <c r="J154" s="527"/>
    </row>
    <row r="155" spans="1:10" ht="16.5" thickTop="1" thickBot="1">
      <c r="A155" s="426" t="s">
        <v>413</v>
      </c>
      <c r="B155" s="427"/>
      <c r="C155" s="427"/>
      <c r="D155" s="427"/>
      <c r="E155" s="428"/>
      <c r="F155" s="3">
        <v>1</v>
      </c>
      <c r="G155" s="3">
        <v>2</v>
      </c>
      <c r="H155" s="3">
        <v>3</v>
      </c>
      <c r="I155" s="3">
        <v>4</v>
      </c>
      <c r="J155" s="3">
        <v>5</v>
      </c>
    </row>
    <row r="156" spans="1:10" ht="16.5" thickTop="1" thickBot="1">
      <c r="A156" s="429"/>
      <c r="B156" s="430"/>
      <c r="C156" s="430"/>
      <c r="D156" s="430"/>
      <c r="E156" s="431"/>
      <c r="F156" s="4" t="str">
        <f ca="1">IF('IWP01'!ContractNumber = "", "", IF('IWP01'!Std5dot1 = "", "E", 'IWP01'!Std5dot1))</f>
        <v/>
      </c>
      <c r="G156" s="4" t="str">
        <f ca="1">IF('IWP02'!ContractNumber = "", "", IF('IWP02'!Std5dot1 = "", "E", 'IWP02'!Std5dot1))</f>
        <v/>
      </c>
      <c r="H156" s="4" t="str">
        <f ca="1">IF('IWP03'!ContractNumber = "", "", IF('IWP03'!Std5dot1 = "", "E", 'IWP03'!Std5dot1))</f>
        <v/>
      </c>
      <c r="I156" s="4" t="str">
        <f ca="1">IF('IWP04'!ContractNumber = "", "", IF('IWP04'!Std5dot1 = "", "E", 'IWP04'!Std5dot1))</f>
        <v/>
      </c>
      <c r="J156" s="4" t="str">
        <f ca="1">IF('IWP05'!ContractNumber = "", "", IF('IWP05'!Std5dot1 = "", "E", 'IWP05'!Std5dot1))</f>
        <v/>
      </c>
    </row>
    <row r="157" spans="1:10" ht="16.5" thickTop="1" thickBot="1">
      <c r="A157" s="429"/>
      <c r="B157" s="430"/>
      <c r="C157" s="430"/>
      <c r="D157" s="430"/>
      <c r="E157" s="431"/>
      <c r="F157" s="3">
        <v>6</v>
      </c>
      <c r="G157" s="3">
        <v>7</v>
      </c>
      <c r="H157" s="3">
        <v>8</v>
      </c>
      <c r="I157" s="412"/>
      <c r="J157" s="413"/>
    </row>
    <row r="158" spans="1:10" ht="16.5" thickTop="1" thickBot="1">
      <c r="A158" s="484" t="s">
        <v>1090</v>
      </c>
      <c r="B158" s="485"/>
      <c r="C158" s="485"/>
      <c r="D158" s="485"/>
      <c r="E158" s="486"/>
      <c r="F158" s="4" t="str">
        <f ca="1">IF('IWP06'!ContractNumber = "", "", IF('IWP06'!Std5dot1 = "", "E", 'IWP06'!Std5dot1))</f>
        <v/>
      </c>
      <c r="G158" s="4" t="str">
        <f ca="1">IF('IWP07'!ContractNumber = "", "", IF('IWP07'!Std5dot1 = "", "E", 'IWP07'!Std5dot1))</f>
        <v/>
      </c>
      <c r="H158" s="4" t="str">
        <f ca="1">IF('IWP08'!ContractNumber = "", "", IF('IWP08'!Std5dot1 = "", "E", 'IWP08'!Std5dot1))</f>
        <v/>
      </c>
      <c r="I158" s="414"/>
      <c r="J158" s="415"/>
    </row>
    <row r="159" spans="1:10" ht="16" thickTop="1">
      <c r="A159" s="484"/>
      <c r="B159" s="485"/>
      <c r="C159" s="485"/>
      <c r="D159" s="485"/>
      <c r="E159" s="486"/>
      <c r="F159" s="414"/>
      <c r="G159" s="416"/>
      <c r="H159" s="416"/>
      <c r="I159" s="416"/>
      <c r="J159" s="415"/>
    </row>
    <row r="160" spans="1:10">
      <c r="A160" s="461" t="s">
        <v>926</v>
      </c>
      <c r="B160" s="462"/>
      <c r="C160" s="462"/>
      <c r="D160" s="462"/>
      <c r="E160" s="463"/>
      <c r="F160" s="414"/>
      <c r="G160" s="416"/>
      <c r="H160" s="416"/>
      <c r="I160" s="416"/>
      <c r="J160" s="415"/>
    </row>
    <row r="161" spans="1:10">
      <c r="A161" s="461"/>
      <c r="B161" s="462"/>
      <c r="C161" s="462"/>
      <c r="D161" s="462"/>
      <c r="E161" s="463"/>
      <c r="F161" s="414"/>
      <c r="G161" s="416"/>
      <c r="H161" s="416"/>
      <c r="I161" s="416"/>
      <c r="J161" s="415"/>
    </row>
    <row r="162" spans="1:10">
      <c r="A162" s="461"/>
      <c r="B162" s="462"/>
      <c r="C162" s="462"/>
      <c r="D162" s="462"/>
      <c r="E162" s="463"/>
      <c r="F162" s="414"/>
      <c r="G162" s="416"/>
      <c r="H162" s="416"/>
      <c r="I162" s="416"/>
      <c r="J162" s="415"/>
    </row>
    <row r="163" spans="1:10">
      <c r="A163" s="461"/>
      <c r="B163" s="462"/>
      <c r="C163" s="462"/>
      <c r="D163" s="462"/>
      <c r="E163" s="463"/>
      <c r="F163" s="414"/>
      <c r="G163" s="416"/>
      <c r="H163" s="416"/>
      <c r="I163" s="416"/>
      <c r="J163" s="415"/>
    </row>
    <row r="164" spans="1:10">
      <c r="A164" s="461"/>
      <c r="B164" s="462"/>
      <c r="C164" s="462"/>
      <c r="D164" s="462"/>
      <c r="E164" s="463"/>
      <c r="F164" s="414"/>
      <c r="G164" s="416"/>
      <c r="H164" s="416"/>
      <c r="I164" s="416"/>
      <c r="J164" s="415"/>
    </row>
    <row r="165" spans="1:10">
      <c r="A165" s="461"/>
      <c r="B165" s="462"/>
      <c r="C165" s="462"/>
      <c r="D165" s="462"/>
      <c r="E165" s="463"/>
      <c r="F165" s="414"/>
      <c r="G165" s="416"/>
      <c r="H165" s="416"/>
      <c r="I165" s="416"/>
      <c r="J165" s="415"/>
    </row>
    <row r="166" spans="1:10" ht="16" thickBot="1">
      <c r="A166" s="464"/>
      <c r="B166" s="465"/>
      <c r="C166" s="465"/>
      <c r="D166" s="465"/>
      <c r="E166" s="466"/>
      <c r="F166" s="417"/>
      <c r="G166" s="418"/>
      <c r="H166" s="418"/>
      <c r="I166" s="418"/>
      <c r="J166" s="419"/>
    </row>
    <row r="167" spans="1:10" ht="16.5" thickTop="1" thickBot="1">
      <c r="A167" s="588" t="s">
        <v>14</v>
      </c>
      <c r="B167" s="730"/>
      <c r="C167" s="730"/>
      <c r="D167" s="730"/>
      <c r="E167" s="730"/>
      <c r="F167" s="731"/>
      <c r="G167" s="437" t="s">
        <v>15</v>
      </c>
      <c r="H167" s="438"/>
      <c r="I167" s="437" t="s">
        <v>16</v>
      </c>
      <c r="J167" s="438"/>
    </row>
    <row r="168" spans="1:10" ht="16.5" thickTop="1" thickBot="1">
      <c r="A168" s="588"/>
      <c r="B168" s="677" t="s">
        <v>85</v>
      </c>
      <c r="C168" s="678"/>
      <c r="D168" s="678"/>
      <c r="E168" s="678"/>
      <c r="F168" s="679"/>
      <c r="G168" s="420">
        <f ca="1">COUNTIF(F156:J166, "Y")</f>
        <v>0</v>
      </c>
      <c r="H168" s="421"/>
      <c r="I168" s="420">
        <f ca="1">COUNTIF(F156:J166, "N")</f>
        <v>0</v>
      </c>
      <c r="J168" s="421"/>
    </row>
    <row r="169" spans="1:10" ht="16" thickTop="1">
      <c r="A169" s="447" t="s">
        <v>86</v>
      </c>
      <c r="B169" s="448"/>
      <c r="C169" s="448"/>
      <c r="D169" s="448"/>
      <c r="E169" s="448"/>
      <c r="F169" s="448"/>
      <c r="G169" s="448"/>
      <c r="H169" s="448"/>
      <c r="I169" s="448"/>
      <c r="J169" s="449"/>
    </row>
    <row r="170" spans="1:10" ht="16" thickBot="1">
      <c r="A170" s="589"/>
      <c r="B170" s="590"/>
      <c r="C170" s="590"/>
      <c r="D170" s="590"/>
      <c r="E170" s="590"/>
      <c r="F170" s="590"/>
      <c r="G170" s="590"/>
      <c r="H170" s="590"/>
      <c r="I170" s="590"/>
      <c r="J170" s="591"/>
    </row>
    <row r="171" spans="1:10" ht="16" thickTop="1">
      <c r="A171" s="504" t="s">
        <v>414</v>
      </c>
      <c r="B171" s="581" t="s">
        <v>1091</v>
      </c>
      <c r="C171" s="507"/>
      <c r="D171" s="507"/>
      <c r="E171" s="507"/>
      <c r="F171" s="507"/>
      <c r="G171" s="507"/>
      <c r="H171" s="508"/>
      <c r="I171" s="509" t="s">
        <v>415</v>
      </c>
      <c r="J171" s="510"/>
    </row>
    <row r="172" spans="1:10" ht="16" thickBot="1">
      <c r="A172" s="505"/>
      <c r="B172" s="582" t="s">
        <v>1092</v>
      </c>
      <c r="C172" s="583"/>
      <c r="D172" s="583"/>
      <c r="E172" s="583"/>
      <c r="F172" s="583"/>
      <c r="G172" s="583"/>
      <c r="H172" s="584"/>
      <c r="I172" s="511"/>
      <c r="J172" s="512"/>
    </row>
    <row r="173" spans="1:10" ht="26.25" customHeight="1" thickTop="1">
      <c r="A173" s="505"/>
      <c r="B173" s="585" t="s">
        <v>1093</v>
      </c>
      <c r="C173" s="586"/>
      <c r="D173" s="586"/>
      <c r="E173" s="586"/>
      <c r="F173" s="586"/>
      <c r="G173" s="586"/>
      <c r="H173" s="587"/>
      <c r="I173" s="577"/>
      <c r="J173" s="578"/>
    </row>
    <row r="174" spans="1:10" ht="16.5" customHeight="1" thickBot="1">
      <c r="A174" s="505"/>
      <c r="B174" s="585" t="s">
        <v>847</v>
      </c>
      <c r="C174" s="586"/>
      <c r="D174" s="586"/>
      <c r="E174" s="586"/>
      <c r="F174" s="586"/>
      <c r="G174" s="586"/>
      <c r="H174" s="587"/>
      <c r="I174" s="579"/>
      <c r="J174" s="580"/>
    </row>
    <row r="175" spans="1:10" ht="45" customHeight="1" thickTop="1">
      <c r="A175" s="592" t="s">
        <v>88</v>
      </c>
      <c r="B175" s="593"/>
      <c r="C175" s="593"/>
      <c r="D175" s="593"/>
      <c r="E175" s="593"/>
      <c r="F175" s="593"/>
      <c r="G175" s="593"/>
      <c r="H175" s="593"/>
      <c r="I175" s="593"/>
      <c r="J175" s="594"/>
    </row>
    <row r="176" spans="1:10">
      <c r="A176" s="439" t="s">
        <v>89</v>
      </c>
      <c r="B176" s="440"/>
      <c r="C176" s="440"/>
      <c r="D176" s="440"/>
      <c r="E176" s="440"/>
      <c r="F176" s="440"/>
      <c r="G176" s="440"/>
      <c r="H176" s="440"/>
      <c r="I176" s="440"/>
      <c r="J176" s="441"/>
    </row>
    <row r="177" spans="1:10">
      <c r="A177" s="439" t="s">
        <v>90</v>
      </c>
      <c r="B177" s="440"/>
      <c r="C177" s="440"/>
      <c r="D177" s="440"/>
      <c r="E177" s="440"/>
      <c r="F177" s="440"/>
      <c r="G177" s="440"/>
      <c r="H177" s="440"/>
      <c r="I177" s="440"/>
      <c r="J177" s="441"/>
    </row>
    <row r="178" spans="1:10">
      <c r="A178" s="439" t="s">
        <v>91</v>
      </c>
      <c r="B178" s="440"/>
      <c r="C178" s="440"/>
      <c r="D178" s="440"/>
      <c r="E178" s="440"/>
      <c r="F178" s="440"/>
      <c r="G178" s="440"/>
      <c r="H178" s="440"/>
      <c r="I178" s="440"/>
      <c r="J178" s="441"/>
    </row>
    <row r="179" spans="1:10">
      <c r="A179" s="439" t="s">
        <v>92</v>
      </c>
      <c r="B179" s="440"/>
      <c r="C179" s="440"/>
      <c r="D179" s="440"/>
      <c r="E179" s="440"/>
      <c r="F179" s="440"/>
      <c r="G179" s="440"/>
      <c r="H179" s="440"/>
      <c r="I179" s="440"/>
      <c r="J179" s="441"/>
    </row>
    <row r="180" spans="1:10">
      <c r="A180" s="439" t="s">
        <v>416</v>
      </c>
      <c r="B180" s="440"/>
      <c r="C180" s="440"/>
      <c r="D180" s="440"/>
      <c r="E180" s="440"/>
      <c r="F180" s="440"/>
      <c r="G180" s="440"/>
      <c r="H180" s="440"/>
      <c r="I180" s="440"/>
      <c r="J180" s="441"/>
    </row>
    <row r="181" spans="1:10" ht="16" thickBot="1">
      <c r="A181" s="429" t="s">
        <v>93</v>
      </c>
      <c r="B181" s="430"/>
      <c r="C181" s="430"/>
      <c r="D181" s="430"/>
      <c r="E181" s="575"/>
      <c r="F181" s="575"/>
      <c r="G181" s="575"/>
      <c r="H181" s="575"/>
      <c r="I181" s="575"/>
      <c r="J181" s="576"/>
    </row>
    <row r="182" spans="1:10" ht="16.5" thickTop="1" thickBot="1">
      <c r="A182" s="569" t="s">
        <v>94</v>
      </c>
      <c r="B182" s="570"/>
      <c r="C182" s="19" t="s">
        <v>96</v>
      </c>
      <c r="D182" s="569" t="s">
        <v>103</v>
      </c>
      <c r="E182" s="570"/>
      <c r="F182" s="19" t="s">
        <v>96</v>
      </c>
      <c r="G182" s="569" t="s">
        <v>110</v>
      </c>
      <c r="H182" s="570"/>
      <c r="I182" s="570"/>
      <c r="J182" s="571"/>
    </row>
    <row r="183" spans="1:10" ht="16" thickBot="1">
      <c r="A183" s="567" t="s">
        <v>95</v>
      </c>
      <c r="B183" s="568"/>
      <c r="C183" s="174"/>
      <c r="D183" s="567" t="s">
        <v>104</v>
      </c>
      <c r="E183" s="568"/>
      <c r="F183" s="174"/>
      <c r="G183" s="572" t="s">
        <v>417</v>
      </c>
      <c r="H183" s="573"/>
      <c r="I183" s="573"/>
      <c r="J183" s="175"/>
    </row>
    <row r="184" spans="1:10" ht="16" thickBot="1">
      <c r="A184" s="567" t="s">
        <v>97</v>
      </c>
      <c r="B184" s="568"/>
      <c r="C184" s="174"/>
      <c r="D184" s="567" t="s">
        <v>105</v>
      </c>
      <c r="E184" s="568"/>
      <c r="F184" s="174"/>
      <c r="G184" s="567" t="s">
        <v>111</v>
      </c>
      <c r="H184" s="574"/>
      <c r="I184" s="574"/>
      <c r="J184" s="175"/>
    </row>
    <row r="185" spans="1:10" ht="16" thickBot="1">
      <c r="A185" s="567" t="s">
        <v>98</v>
      </c>
      <c r="B185" s="568"/>
      <c r="C185" s="174"/>
      <c r="D185" s="567" t="s">
        <v>106</v>
      </c>
      <c r="E185" s="568"/>
      <c r="F185" s="174"/>
      <c r="G185" s="740" t="s">
        <v>418</v>
      </c>
      <c r="H185" s="739"/>
      <c r="I185" s="739"/>
      <c r="J185" s="742" t="str">
        <f>IF(Std_VI_1_BalPettyCashLog = "", "", J183 - ABS(J184))</f>
        <v/>
      </c>
    </row>
    <row r="186" spans="1:10" ht="16" thickBot="1">
      <c r="A186" s="567" t="s">
        <v>99</v>
      </c>
      <c r="B186" s="568"/>
      <c r="C186" s="174"/>
      <c r="D186" s="567" t="s">
        <v>107</v>
      </c>
      <c r="E186" s="568"/>
      <c r="F186" s="174"/>
      <c r="G186" s="741"/>
      <c r="H186" s="739"/>
      <c r="I186" s="739"/>
      <c r="J186" s="742"/>
    </row>
    <row r="187" spans="1:10" ht="16" thickBot="1">
      <c r="A187" s="567" t="s">
        <v>100</v>
      </c>
      <c r="B187" s="568"/>
      <c r="C187" s="174"/>
      <c r="D187" s="567" t="s">
        <v>108</v>
      </c>
      <c r="E187" s="568"/>
      <c r="F187" s="174"/>
      <c r="G187" s="738" t="s">
        <v>419</v>
      </c>
      <c r="H187" s="739"/>
      <c r="I187" s="739"/>
      <c r="J187" s="20" t="str">
        <f>E190</f>
        <v/>
      </c>
    </row>
    <row r="188" spans="1:10" ht="16" thickBot="1">
      <c r="A188" s="567" t="s">
        <v>101</v>
      </c>
      <c r="B188" s="568"/>
      <c r="C188" s="174"/>
      <c r="D188" s="567" t="s">
        <v>109</v>
      </c>
      <c r="E188" s="568"/>
      <c r="F188" s="174"/>
      <c r="G188" s="685" t="s">
        <v>420</v>
      </c>
      <c r="H188" s="686"/>
      <c r="I188" s="687"/>
      <c r="J188" s="692" t="str">
        <f>IF(Std_VI_1_BalPettyCashLog = "", "", J187 - J185)</f>
        <v/>
      </c>
    </row>
    <row r="189" spans="1:10" ht="16" thickBot="1">
      <c r="A189" s="683" t="s">
        <v>102</v>
      </c>
      <c r="B189" s="684"/>
      <c r="C189" s="50" t="str">
        <f>IF(COUNTBLANK(C183:C188) = 6, "", SUM(C183:C188))</f>
        <v/>
      </c>
      <c r="D189" s="683" t="s">
        <v>102</v>
      </c>
      <c r="E189" s="684"/>
      <c r="F189" s="50" t="str">
        <f>IF(COUNTBLANK(F183:F188) = 6, "", SUM(F183:F188))</f>
        <v/>
      </c>
      <c r="G189" s="429"/>
      <c r="H189" s="430"/>
      <c r="I189" s="688"/>
      <c r="J189" s="693"/>
    </row>
    <row r="190" spans="1:10" ht="16" thickBot="1">
      <c r="A190" s="745" t="s">
        <v>421</v>
      </c>
      <c r="B190" s="746"/>
      <c r="C190" s="746"/>
      <c r="D190" s="747"/>
      <c r="E190" s="743" t="str">
        <f>IF(Std_VI_1_CoinsTotal = "", IF(Std_VI_1_CurrencyTotal = "", "", Std_VI_1_CurrencyTotal), IF(Std_VI_1_CurrencyTotal = "", Std_VI_1_CoinsTotal, Std_VI_1_CoinsTotal + Std_VI_1_CurrencyTotal))</f>
        <v/>
      </c>
      <c r="F190" s="744"/>
      <c r="G190" s="689"/>
      <c r="H190" s="690"/>
      <c r="I190" s="691"/>
      <c r="J190" s="694"/>
    </row>
    <row r="191" spans="1:10" ht="16.5" thickTop="1" thickBot="1">
      <c r="A191" s="732" t="s">
        <v>422</v>
      </c>
      <c r="B191" s="733"/>
      <c r="C191" s="733"/>
      <c r="D191" s="733"/>
      <c r="E191" s="733"/>
      <c r="F191" s="733"/>
      <c r="G191" s="733"/>
      <c r="H191" s="734"/>
      <c r="I191" s="751"/>
      <c r="J191" s="752"/>
    </row>
    <row r="192" spans="1:10" ht="16.5" thickTop="1" thickBot="1">
      <c r="A192" s="748" t="s">
        <v>925</v>
      </c>
      <c r="B192" s="749"/>
      <c r="C192" s="749"/>
      <c r="D192" s="749"/>
      <c r="E192" s="749"/>
      <c r="F192" s="749"/>
      <c r="G192" s="749"/>
      <c r="H192" s="749"/>
      <c r="I192" s="749"/>
      <c r="J192" s="750"/>
    </row>
    <row r="193" spans="1:10" ht="16" thickTop="1">
      <c r="A193" s="509" t="s">
        <v>87</v>
      </c>
      <c r="B193" s="704"/>
      <c r="C193" s="704"/>
      <c r="D193" s="704"/>
      <c r="E193" s="704"/>
      <c r="F193" s="704"/>
      <c r="G193" s="704"/>
      <c r="H193" s="510"/>
      <c r="I193" s="695" t="str">
        <f>IF(Standard_VI_1_NotCalc = "", "", IF(Standard_VI_1_NotCalc = "N", "NA", IF(Std_VI_1_PettyCashOverShort = 0, "Y", IF(I191 &lt;&gt; "NA", I191, ""))))</f>
        <v/>
      </c>
      <c r="J193" s="696"/>
    </row>
    <row r="194" spans="1:10" ht="15" customHeight="1">
      <c r="A194" s="439" t="s">
        <v>1094</v>
      </c>
      <c r="B194" s="440"/>
      <c r="C194" s="440"/>
      <c r="D194" s="440"/>
      <c r="E194" s="440"/>
      <c r="F194" s="440"/>
      <c r="G194" s="440"/>
      <c r="H194" s="441"/>
      <c r="I194" s="697"/>
      <c r="J194" s="698"/>
    </row>
    <row r="195" spans="1:10" ht="15.75" customHeight="1">
      <c r="A195" s="439"/>
      <c r="B195" s="440"/>
      <c r="C195" s="440"/>
      <c r="D195" s="440"/>
      <c r="E195" s="440"/>
      <c r="F195" s="440"/>
      <c r="G195" s="440"/>
      <c r="H195" s="441"/>
      <c r="I195" s="697"/>
      <c r="J195" s="698"/>
    </row>
    <row r="196" spans="1:10" ht="30" customHeight="1" thickBot="1">
      <c r="A196" s="735"/>
      <c r="B196" s="736"/>
      <c r="C196" s="736"/>
      <c r="D196" s="736"/>
      <c r="E196" s="736"/>
      <c r="F196" s="736"/>
      <c r="G196" s="736"/>
      <c r="H196" s="737"/>
      <c r="I196" s="699"/>
      <c r="J196" s="700"/>
    </row>
    <row r="197" spans="1:10" ht="16" thickTop="1">
      <c r="A197" s="432" t="s">
        <v>14</v>
      </c>
      <c r="B197" s="422"/>
      <c r="C197" s="422"/>
      <c r="D197" s="422"/>
      <c r="E197" s="422"/>
      <c r="F197" s="422"/>
      <c r="G197" s="422"/>
      <c r="H197" s="422"/>
      <c r="I197" s="422"/>
      <c r="J197" s="423"/>
    </row>
    <row r="198" spans="1:10" ht="16" thickBot="1">
      <c r="A198" s="433"/>
      <c r="B198" s="454" t="s">
        <v>86</v>
      </c>
      <c r="C198" s="454"/>
      <c r="D198" s="454"/>
      <c r="E198" s="454"/>
      <c r="F198" s="454"/>
      <c r="G198" s="454"/>
      <c r="H198" s="454"/>
      <c r="I198" s="454"/>
      <c r="J198" s="455"/>
    </row>
    <row r="199" spans="1:10" ht="16" thickTop="1">
      <c r="A199" s="447" t="s">
        <v>113</v>
      </c>
      <c r="B199" s="448"/>
      <c r="C199" s="448"/>
      <c r="D199" s="448"/>
      <c r="E199" s="448"/>
      <c r="F199" s="448"/>
      <c r="G199" s="448"/>
      <c r="H199" s="448"/>
      <c r="I199" s="448"/>
      <c r="J199" s="449"/>
    </row>
    <row r="200" spans="1:10" ht="16" thickBot="1">
      <c r="A200" s="525" t="s">
        <v>1095</v>
      </c>
      <c r="B200" s="526"/>
      <c r="C200" s="526"/>
      <c r="D200" s="526"/>
      <c r="E200" s="526"/>
      <c r="F200" s="526"/>
      <c r="G200" s="526"/>
      <c r="H200" s="526"/>
      <c r="I200" s="526"/>
      <c r="J200" s="527"/>
    </row>
    <row r="201" spans="1:10" ht="16.5" thickTop="1" thickBot="1">
      <c r="A201" s="581" t="s">
        <v>114</v>
      </c>
      <c r="B201" s="507"/>
      <c r="C201" s="507"/>
      <c r="D201" s="507"/>
      <c r="E201" s="508"/>
      <c r="F201" s="3">
        <v>1</v>
      </c>
      <c r="G201" s="3">
        <v>2</v>
      </c>
      <c r="H201" s="3">
        <v>3</v>
      </c>
      <c r="I201" s="3">
        <v>4</v>
      </c>
      <c r="J201" s="3">
        <v>5</v>
      </c>
    </row>
    <row r="202" spans="1:10" ht="16.5" thickTop="1" thickBot="1">
      <c r="A202" s="701"/>
      <c r="B202" s="702"/>
      <c r="C202" s="702"/>
      <c r="D202" s="702"/>
      <c r="E202" s="703"/>
      <c r="F202" s="4" t="str">
        <f ca="1">IF('IWP01'!ContractNumber = "", "", IF('IWP01'!Std7dot1 = "", "E", 'IWP01'!Std7dot1))</f>
        <v/>
      </c>
      <c r="G202" s="4" t="str">
        <f ca="1">IF('IWP02'!ContractNumber = "", "", IF('IWP02'!Std7dot1 = "", "E", 'IWP02'!Std7dot1))</f>
        <v/>
      </c>
      <c r="H202" s="4" t="str">
        <f ca="1">IF('IWP03'!ContractNumber = "", "", IF('IWP03'!Std7dot1 = "", "E", 'IWP03'!Std7dot1))</f>
        <v/>
      </c>
      <c r="I202" s="4" t="str">
        <f ca="1">IF('IWP04'!ContractNumber = "", "", IF('IWP04'!Std7dot1 = "", "E", 'IWP04'!Std7dot1))</f>
        <v/>
      </c>
      <c r="J202" s="4" t="str">
        <f ca="1">IF('IWP05'!ContractNumber = "", "", IF('IWP05'!Std7dot1 = "", "E", 'IWP05'!Std7dot1))</f>
        <v/>
      </c>
    </row>
    <row r="203" spans="1:10" ht="16.5" thickTop="1" thickBot="1">
      <c r="A203" s="439" t="s">
        <v>1090</v>
      </c>
      <c r="B203" s="440"/>
      <c r="C203" s="440"/>
      <c r="D203" s="440"/>
      <c r="E203" s="441"/>
      <c r="F203" s="3">
        <v>6</v>
      </c>
      <c r="G203" s="3">
        <v>7</v>
      </c>
      <c r="H203" s="3">
        <v>8</v>
      </c>
      <c r="I203" s="412"/>
      <c r="J203" s="413"/>
    </row>
    <row r="204" spans="1:10" ht="16.5" thickTop="1" thickBot="1">
      <c r="A204" s="439"/>
      <c r="B204" s="440"/>
      <c r="C204" s="440"/>
      <c r="D204" s="440"/>
      <c r="E204" s="441"/>
      <c r="F204" s="4" t="str">
        <f ca="1">IF('IWP06'!ContractNumber = "", "", IF('IWP06'!Std7dot1 = "", "E", 'IWP06'!Std7dot1))</f>
        <v/>
      </c>
      <c r="G204" s="4" t="str">
        <f ca="1">IF('IWP07'!ContractNumber = "", "", IF('IWP07'!Std7dot1 = "", "E", 'IWP07'!Std7dot1))</f>
        <v/>
      </c>
      <c r="H204" s="4" t="str">
        <f ca="1">IF('IWP08'!ContractNumber = "", "", IF('IWP08'!Std7dot1 = "", "E", 'IWP08'!Std7dot1))</f>
        <v/>
      </c>
      <c r="I204" s="414"/>
      <c r="J204" s="415"/>
    </row>
    <row r="205" spans="1:10" ht="16" thickTop="1">
      <c r="A205" s="439"/>
      <c r="B205" s="440"/>
      <c r="C205" s="440"/>
      <c r="D205" s="440"/>
      <c r="E205" s="441"/>
      <c r="F205" s="414"/>
      <c r="G205" s="416"/>
      <c r="H205" s="416"/>
      <c r="I205" s="416"/>
      <c r="J205" s="415"/>
    </row>
    <row r="206" spans="1:10">
      <c r="A206" s="461" t="s">
        <v>925</v>
      </c>
      <c r="B206" s="462"/>
      <c r="C206" s="462"/>
      <c r="D206" s="462"/>
      <c r="E206" s="463"/>
      <c r="F206" s="414"/>
      <c r="G206" s="416"/>
      <c r="H206" s="416"/>
      <c r="I206" s="416"/>
      <c r="J206" s="415"/>
    </row>
    <row r="207" spans="1:10">
      <c r="A207" s="461"/>
      <c r="B207" s="462"/>
      <c r="C207" s="462"/>
      <c r="D207" s="462"/>
      <c r="E207" s="463"/>
      <c r="F207" s="414"/>
      <c r="G207" s="416"/>
      <c r="H207" s="416"/>
      <c r="I207" s="416"/>
      <c r="J207" s="415"/>
    </row>
    <row r="208" spans="1:10">
      <c r="A208" s="461"/>
      <c r="B208" s="462"/>
      <c r="C208" s="462"/>
      <c r="D208" s="462"/>
      <c r="E208" s="463"/>
      <c r="F208" s="414"/>
      <c r="G208" s="416"/>
      <c r="H208" s="416"/>
      <c r="I208" s="416"/>
      <c r="J208" s="415"/>
    </row>
    <row r="209" spans="1:10">
      <c r="A209" s="461"/>
      <c r="B209" s="462"/>
      <c r="C209" s="462"/>
      <c r="D209" s="462"/>
      <c r="E209" s="463"/>
      <c r="F209" s="414"/>
      <c r="G209" s="416"/>
      <c r="H209" s="416"/>
      <c r="I209" s="416"/>
      <c r="J209" s="415"/>
    </row>
    <row r="210" spans="1:10">
      <c r="A210" s="461"/>
      <c r="B210" s="462"/>
      <c r="C210" s="462"/>
      <c r="D210" s="462"/>
      <c r="E210" s="463"/>
      <c r="F210" s="414"/>
      <c r="G210" s="416"/>
      <c r="H210" s="416"/>
      <c r="I210" s="416"/>
      <c r="J210" s="415"/>
    </row>
    <row r="211" spans="1:10">
      <c r="A211" s="461"/>
      <c r="B211" s="462"/>
      <c r="C211" s="462"/>
      <c r="D211" s="462"/>
      <c r="E211" s="463"/>
      <c r="F211" s="414"/>
      <c r="G211" s="416"/>
      <c r="H211" s="416"/>
      <c r="I211" s="416"/>
      <c r="J211" s="415"/>
    </row>
    <row r="212" spans="1:10" ht="16" thickBot="1">
      <c r="A212" s="464"/>
      <c r="B212" s="465"/>
      <c r="C212" s="465"/>
      <c r="D212" s="465"/>
      <c r="E212" s="466"/>
      <c r="F212" s="417"/>
      <c r="G212" s="418"/>
      <c r="H212" s="418"/>
      <c r="I212" s="418"/>
      <c r="J212" s="419"/>
    </row>
    <row r="213" spans="1:10" ht="16.5" thickTop="1" thickBot="1">
      <c r="A213" s="138" t="s">
        <v>14</v>
      </c>
      <c r="B213" s="565"/>
      <c r="C213" s="565"/>
      <c r="D213" s="565"/>
      <c r="E213" s="565"/>
      <c r="F213" s="566"/>
      <c r="G213" s="520" t="s">
        <v>15</v>
      </c>
      <c r="H213" s="521"/>
      <c r="I213" s="520" t="s">
        <v>16</v>
      </c>
      <c r="J213" s="521"/>
    </row>
    <row r="214" spans="1:10" ht="16" thickTop="1">
      <c r="A214" s="450" t="s">
        <v>115</v>
      </c>
      <c r="B214" s="451"/>
      <c r="C214" s="451"/>
      <c r="D214" s="451"/>
      <c r="E214" s="451"/>
      <c r="F214" s="452"/>
      <c r="G214" s="520">
        <f ca="1">COUNTIF(F202:J212, "Y")</f>
        <v>0</v>
      </c>
      <c r="H214" s="521"/>
      <c r="I214" s="520">
        <f ca="1">COUNTIF(F202:J212, "N")</f>
        <v>0</v>
      </c>
      <c r="J214" s="521"/>
    </row>
    <row r="215" spans="1:10" ht="16" thickBot="1">
      <c r="A215" s="450"/>
      <c r="B215" s="451"/>
      <c r="C215" s="451"/>
      <c r="D215" s="451"/>
      <c r="E215" s="451"/>
      <c r="F215" s="452"/>
      <c r="G215" s="705"/>
      <c r="H215" s="706"/>
      <c r="I215" s="705"/>
      <c r="J215" s="706"/>
    </row>
    <row r="216" spans="1:10" ht="16.5" thickTop="1" thickBot="1">
      <c r="A216" s="447" t="s">
        <v>116</v>
      </c>
      <c r="B216" s="448"/>
      <c r="C216" s="448"/>
      <c r="D216" s="448"/>
      <c r="E216" s="448"/>
      <c r="F216" s="448"/>
      <c r="G216" s="448"/>
      <c r="H216" s="448"/>
      <c r="I216" s="448"/>
      <c r="J216" s="449"/>
    </row>
    <row r="217" spans="1:10" ht="30" customHeight="1" thickTop="1" thickBot="1">
      <c r="A217" s="504" t="s">
        <v>423</v>
      </c>
      <c r="B217" s="507" t="s">
        <v>1069</v>
      </c>
      <c r="C217" s="507"/>
      <c r="D217" s="507"/>
      <c r="E217" s="507"/>
      <c r="F217" s="507"/>
      <c r="G217" s="507"/>
      <c r="H217" s="508"/>
      <c r="I217" s="509" t="s">
        <v>415</v>
      </c>
      <c r="J217" s="510"/>
    </row>
    <row r="218" spans="1:10" s="139" customFormat="1" ht="30" customHeight="1" thickTop="1">
      <c r="A218" s="505"/>
      <c r="B218" s="467" t="s">
        <v>848</v>
      </c>
      <c r="C218" s="468"/>
      <c r="D218" s="468"/>
      <c r="E218" s="468"/>
      <c r="F218" s="468"/>
      <c r="G218" s="468"/>
      <c r="H218" s="469"/>
      <c r="I218" s="577"/>
      <c r="J218" s="578"/>
    </row>
    <row r="219" spans="1:10" ht="15" customHeight="1" thickBot="1">
      <c r="A219" s="506"/>
      <c r="B219" s="680"/>
      <c r="C219" s="681"/>
      <c r="D219" s="681"/>
      <c r="E219" s="681"/>
      <c r="F219" s="681"/>
      <c r="G219" s="681"/>
      <c r="H219" s="682"/>
      <c r="I219" s="675"/>
      <c r="J219" s="676"/>
    </row>
    <row r="220" spans="1:10" ht="30" customHeight="1" thickTop="1">
      <c r="A220" s="504" t="s">
        <v>424</v>
      </c>
      <c r="B220" s="507" t="s">
        <v>1070</v>
      </c>
      <c r="C220" s="507"/>
      <c r="D220" s="507"/>
      <c r="E220" s="507"/>
      <c r="F220" s="507"/>
      <c r="G220" s="507"/>
      <c r="H220" s="508"/>
      <c r="I220" s="509" t="s">
        <v>415</v>
      </c>
      <c r="J220" s="510"/>
    </row>
    <row r="221" spans="1:10" ht="30" customHeight="1" thickBot="1">
      <c r="A221" s="505"/>
      <c r="B221" s="467" t="s">
        <v>850</v>
      </c>
      <c r="C221" s="468"/>
      <c r="D221" s="468"/>
      <c r="E221" s="468"/>
      <c r="F221" s="468"/>
      <c r="G221" s="468"/>
      <c r="H221" s="469"/>
      <c r="I221" s="511"/>
      <c r="J221" s="512"/>
    </row>
    <row r="222" spans="1:10" ht="30" customHeight="1" thickTop="1">
      <c r="A222" s="505"/>
      <c r="B222" s="467" t="s">
        <v>849</v>
      </c>
      <c r="C222" s="468"/>
      <c r="D222" s="468"/>
      <c r="E222" s="468"/>
      <c r="F222" s="468"/>
      <c r="G222" s="468"/>
      <c r="H222" s="469"/>
      <c r="I222" s="577"/>
      <c r="J222" s="578"/>
    </row>
    <row r="223" spans="1:10" ht="30" customHeight="1" thickBot="1">
      <c r="A223" s="506"/>
      <c r="B223" s="680"/>
      <c r="C223" s="681"/>
      <c r="D223" s="681"/>
      <c r="E223" s="681"/>
      <c r="F223" s="681"/>
      <c r="G223" s="681"/>
      <c r="H223" s="682"/>
      <c r="I223" s="675"/>
      <c r="J223" s="676"/>
    </row>
    <row r="224" spans="1:10" ht="45" customHeight="1" thickTop="1">
      <c r="A224" s="444" t="s">
        <v>118</v>
      </c>
      <c r="B224" s="445"/>
      <c r="C224" s="445"/>
      <c r="D224" s="445"/>
      <c r="E224" s="445"/>
      <c r="F224" s="445"/>
      <c r="G224" s="445"/>
      <c r="H224" s="445"/>
      <c r="I224" s="445"/>
      <c r="J224" s="446"/>
    </row>
    <row r="225" spans="1:15" ht="15" customHeight="1">
      <c r="A225" s="444" t="s">
        <v>119</v>
      </c>
      <c r="B225" s="445"/>
      <c r="C225" s="445"/>
      <c r="D225" s="445"/>
      <c r="E225" s="445"/>
      <c r="F225" s="445"/>
      <c r="G225" s="445"/>
      <c r="H225" s="445"/>
      <c r="I225" s="445"/>
      <c r="J225" s="446"/>
    </row>
    <row r="226" spans="1:15" ht="45" customHeight="1">
      <c r="A226" s="444" t="s">
        <v>896</v>
      </c>
      <c r="B226" s="445"/>
      <c r="C226" s="445"/>
      <c r="D226" s="445"/>
      <c r="E226" s="445"/>
      <c r="F226" s="445"/>
      <c r="G226" s="445"/>
      <c r="H226" s="445"/>
      <c r="I226" s="445"/>
      <c r="J226" s="446"/>
    </row>
    <row r="227" spans="1:15" ht="30" customHeight="1">
      <c r="A227" s="444" t="s">
        <v>897</v>
      </c>
      <c r="B227" s="445"/>
      <c r="C227" s="445"/>
      <c r="D227" s="445"/>
      <c r="E227" s="445"/>
      <c r="F227" s="445"/>
      <c r="G227" s="445"/>
      <c r="H227" s="445"/>
      <c r="I227" s="445"/>
      <c r="J227" s="446"/>
    </row>
    <row r="228" spans="1:15" ht="30" customHeight="1" thickBot="1">
      <c r="A228" s="444" t="s">
        <v>425</v>
      </c>
      <c r="B228" s="445"/>
      <c r="C228" s="445"/>
      <c r="D228" s="445"/>
      <c r="E228" s="445"/>
      <c r="F228" s="445"/>
      <c r="G228" s="445"/>
      <c r="H228" s="445"/>
      <c r="I228" s="445"/>
      <c r="J228" s="446"/>
    </row>
    <row r="229" spans="1:15" ht="16.5" thickTop="1" thickBot="1">
      <c r="A229" s="513" t="s">
        <v>149</v>
      </c>
      <c r="B229" s="514"/>
      <c r="C229" s="514"/>
      <c r="D229" s="514"/>
      <c r="E229" s="514"/>
      <c r="F229" s="514"/>
      <c r="G229" s="514"/>
      <c r="H229" s="514"/>
      <c r="I229" s="514"/>
      <c r="J229" s="514"/>
      <c r="K229" s="514"/>
      <c r="L229" s="514"/>
      <c r="M229" s="514"/>
      <c r="N229" s="514"/>
      <c r="O229" s="515"/>
    </row>
    <row r="230" spans="1:15" ht="16.5" thickTop="1" thickBot="1">
      <c r="A230" s="481" t="s">
        <v>152</v>
      </c>
      <c r="B230" s="482"/>
      <c r="C230" s="482"/>
      <c r="D230" s="482"/>
      <c r="E230" s="482"/>
      <c r="F230" s="482"/>
      <c r="G230" s="482"/>
      <c r="H230" s="482"/>
      <c r="I230" s="482"/>
      <c r="J230" s="482"/>
      <c r="K230" s="482"/>
      <c r="L230" s="482"/>
      <c r="M230" s="482"/>
      <c r="N230" s="482"/>
      <c r="O230" s="483"/>
    </row>
    <row r="231" spans="1:15" s="22" customFormat="1" ht="13.5" thickBot="1">
      <c r="A231" s="27" t="s">
        <v>150</v>
      </c>
      <c r="B231" s="516" t="s">
        <v>50</v>
      </c>
      <c r="C231" s="517"/>
      <c r="D231" s="518" t="s">
        <v>151</v>
      </c>
      <c r="E231" s="519"/>
      <c r="F231" s="27" t="s">
        <v>150</v>
      </c>
      <c r="G231" s="516" t="s">
        <v>50</v>
      </c>
      <c r="H231" s="517"/>
      <c r="I231" s="518" t="s">
        <v>151</v>
      </c>
      <c r="J231" s="519"/>
      <c r="K231" s="27" t="s">
        <v>150</v>
      </c>
      <c r="L231" s="516" t="s">
        <v>50</v>
      </c>
      <c r="M231" s="517"/>
      <c r="N231" s="518" t="s">
        <v>151</v>
      </c>
      <c r="O231" s="519"/>
    </row>
    <row r="232" spans="1:15" ht="16" thickBot="1">
      <c r="A232" s="176"/>
      <c r="B232" s="470"/>
      <c r="C232" s="397"/>
      <c r="D232" s="471"/>
      <c r="E232" s="472"/>
      <c r="F232" s="176"/>
      <c r="G232" s="470"/>
      <c r="H232" s="397"/>
      <c r="I232" s="471"/>
      <c r="J232" s="472"/>
      <c r="K232" s="176"/>
      <c r="L232" s="470"/>
      <c r="M232" s="397"/>
      <c r="N232" s="471"/>
      <c r="O232" s="472"/>
    </row>
    <row r="233" spans="1:15" ht="16" thickBot="1">
      <c r="A233" s="177"/>
      <c r="B233" s="470"/>
      <c r="C233" s="397"/>
      <c r="D233" s="471"/>
      <c r="E233" s="472"/>
      <c r="F233" s="177"/>
      <c r="G233" s="470"/>
      <c r="H233" s="397"/>
      <c r="I233" s="471"/>
      <c r="J233" s="472"/>
      <c r="K233" s="177"/>
      <c r="L233" s="470"/>
      <c r="M233" s="397"/>
      <c r="N233" s="471"/>
      <c r="O233" s="472"/>
    </row>
    <row r="234" spans="1:15" ht="16" thickBot="1">
      <c r="A234" s="177"/>
      <c r="B234" s="470"/>
      <c r="C234" s="397"/>
      <c r="D234" s="471"/>
      <c r="E234" s="472"/>
      <c r="F234" s="177"/>
      <c r="G234" s="470"/>
      <c r="H234" s="397"/>
      <c r="I234" s="471"/>
      <c r="J234" s="472"/>
      <c r="K234" s="177"/>
      <c r="L234" s="470"/>
      <c r="M234" s="397"/>
      <c r="N234" s="471"/>
      <c r="O234" s="472"/>
    </row>
    <row r="235" spans="1:15" ht="16" thickBot="1">
      <c r="A235" s="177"/>
      <c r="B235" s="470"/>
      <c r="C235" s="397"/>
      <c r="D235" s="471"/>
      <c r="E235" s="472"/>
      <c r="F235" s="177"/>
      <c r="G235" s="470"/>
      <c r="H235" s="397"/>
      <c r="I235" s="471"/>
      <c r="J235" s="472"/>
      <c r="K235" s="177"/>
      <c r="L235" s="470"/>
      <c r="M235" s="397"/>
      <c r="N235" s="471"/>
      <c r="O235" s="472"/>
    </row>
    <row r="236" spans="1:15" ht="16" thickBot="1">
      <c r="A236" s="177"/>
      <c r="B236" s="470"/>
      <c r="C236" s="397"/>
      <c r="D236" s="471"/>
      <c r="E236" s="472"/>
      <c r="F236" s="177"/>
      <c r="G236" s="470"/>
      <c r="H236" s="397"/>
      <c r="I236" s="471"/>
      <c r="J236" s="472"/>
      <c r="K236" s="177"/>
      <c r="L236" s="470"/>
      <c r="M236" s="397"/>
      <c r="N236" s="471"/>
      <c r="O236" s="472"/>
    </row>
    <row r="237" spans="1:15" ht="16" thickBot="1">
      <c r="A237" s="177"/>
      <c r="B237" s="470"/>
      <c r="C237" s="397"/>
      <c r="D237" s="471"/>
      <c r="E237" s="472"/>
      <c r="F237" s="177"/>
      <c r="G237" s="470"/>
      <c r="H237" s="397"/>
      <c r="I237" s="471"/>
      <c r="J237" s="472"/>
      <c r="K237" s="177"/>
      <c r="L237" s="470"/>
      <c r="M237" s="397"/>
      <c r="N237" s="471"/>
      <c r="O237" s="472"/>
    </row>
    <row r="238" spans="1:15" ht="16" thickBot="1">
      <c r="A238" s="177"/>
      <c r="B238" s="470"/>
      <c r="C238" s="397"/>
      <c r="D238" s="471"/>
      <c r="E238" s="472"/>
      <c r="F238" s="177"/>
      <c r="G238" s="470"/>
      <c r="H238" s="397"/>
      <c r="I238" s="471"/>
      <c r="J238" s="472"/>
      <c r="K238" s="177"/>
      <c r="L238" s="470"/>
      <c r="M238" s="397"/>
      <c r="N238" s="471"/>
      <c r="O238" s="472"/>
    </row>
    <row r="239" spans="1:15" ht="16" thickBot="1">
      <c r="A239" s="177"/>
      <c r="B239" s="470"/>
      <c r="C239" s="397"/>
      <c r="D239" s="471"/>
      <c r="E239" s="472"/>
      <c r="F239" s="177"/>
      <c r="G239" s="470"/>
      <c r="H239" s="397"/>
      <c r="I239" s="471"/>
      <c r="J239" s="472"/>
      <c r="K239" s="177"/>
      <c r="L239" s="470"/>
      <c r="M239" s="397"/>
      <c r="N239" s="471"/>
      <c r="O239" s="472"/>
    </row>
    <row r="240" spans="1:15" ht="16" thickBot="1">
      <c r="A240" s="177"/>
      <c r="B240" s="470"/>
      <c r="C240" s="397"/>
      <c r="D240" s="471"/>
      <c r="E240" s="472"/>
      <c r="F240" s="177"/>
      <c r="G240" s="470"/>
      <c r="H240" s="397"/>
      <c r="I240" s="471"/>
      <c r="J240" s="472"/>
      <c r="K240" s="177"/>
      <c r="L240" s="470"/>
      <c r="M240" s="397"/>
      <c r="N240" s="471"/>
      <c r="O240" s="472"/>
    </row>
    <row r="241" spans="1:15" ht="16" thickBot="1">
      <c r="A241" s="177"/>
      <c r="B241" s="470"/>
      <c r="C241" s="397"/>
      <c r="D241" s="471"/>
      <c r="E241" s="472"/>
      <c r="F241" s="177"/>
      <c r="G241" s="470"/>
      <c r="H241" s="397"/>
      <c r="I241" s="471"/>
      <c r="J241" s="472"/>
      <c r="K241" s="177"/>
      <c r="L241" s="470"/>
      <c r="M241" s="397"/>
      <c r="N241" s="471"/>
      <c r="O241" s="472"/>
    </row>
    <row r="242" spans="1:15" ht="16" thickBot="1">
      <c r="A242" s="177"/>
      <c r="B242" s="470"/>
      <c r="C242" s="397"/>
      <c r="D242" s="471"/>
      <c r="E242" s="472"/>
      <c r="F242" s="177"/>
      <c r="G242" s="470"/>
      <c r="H242" s="397"/>
      <c r="I242" s="471"/>
      <c r="J242" s="472"/>
      <c r="K242" s="177"/>
      <c r="L242" s="470"/>
      <c r="M242" s="397"/>
      <c r="N242" s="471"/>
      <c r="O242" s="472"/>
    </row>
    <row r="243" spans="1:15" ht="16" thickBot="1">
      <c r="A243" s="177"/>
      <c r="B243" s="470"/>
      <c r="C243" s="397"/>
      <c r="D243" s="471"/>
      <c r="E243" s="472"/>
      <c r="F243" s="177"/>
      <c r="G243" s="470"/>
      <c r="H243" s="397"/>
      <c r="I243" s="471"/>
      <c r="J243" s="472"/>
      <c r="K243" s="177"/>
      <c r="L243" s="470"/>
      <c r="M243" s="397"/>
      <c r="N243" s="471"/>
      <c r="O243" s="472"/>
    </row>
    <row r="244" spans="1:15" ht="16" thickBot="1">
      <c r="A244" s="177"/>
      <c r="B244" s="470"/>
      <c r="C244" s="397"/>
      <c r="D244" s="471"/>
      <c r="E244" s="472"/>
      <c r="F244" s="177"/>
      <c r="G244" s="470"/>
      <c r="H244" s="397"/>
      <c r="I244" s="471"/>
      <c r="J244" s="472"/>
      <c r="K244" s="177"/>
      <c r="L244" s="470"/>
      <c r="M244" s="397"/>
      <c r="N244" s="471"/>
      <c r="O244" s="472"/>
    </row>
    <row r="245" spans="1:15" ht="16" thickBot="1">
      <c r="A245" s="177"/>
      <c r="B245" s="470"/>
      <c r="C245" s="397"/>
      <c r="D245" s="471"/>
      <c r="E245" s="472"/>
      <c r="F245" s="177"/>
      <c r="G245" s="470"/>
      <c r="H245" s="397"/>
      <c r="I245" s="471"/>
      <c r="J245" s="472"/>
      <c r="K245" s="177"/>
      <c r="L245" s="470"/>
      <c r="M245" s="397"/>
      <c r="N245" s="471"/>
      <c r="O245" s="472"/>
    </row>
    <row r="246" spans="1:15" ht="16" thickBot="1">
      <c r="A246" s="177"/>
      <c r="B246" s="470"/>
      <c r="C246" s="397"/>
      <c r="D246" s="471"/>
      <c r="E246" s="472"/>
      <c r="F246" s="177"/>
      <c r="G246" s="470"/>
      <c r="H246" s="397"/>
      <c r="I246" s="471"/>
      <c r="J246" s="472"/>
      <c r="K246" s="177"/>
      <c r="L246" s="470"/>
      <c r="M246" s="397"/>
      <c r="N246" s="471"/>
      <c r="O246" s="472"/>
    </row>
    <row r="247" spans="1:15" ht="16" thickBot="1">
      <c r="A247" s="177"/>
      <c r="B247" s="470"/>
      <c r="C247" s="397"/>
      <c r="D247" s="471"/>
      <c r="E247" s="472"/>
      <c r="F247" s="177"/>
      <c r="G247" s="470"/>
      <c r="H247" s="397"/>
      <c r="I247" s="471"/>
      <c r="J247" s="472"/>
      <c r="K247" s="177"/>
      <c r="L247" s="470"/>
      <c r="M247" s="397"/>
      <c r="N247" s="471"/>
      <c r="O247" s="472"/>
    </row>
    <row r="248" spans="1:15" ht="16" thickBot="1">
      <c r="A248" s="177"/>
      <c r="B248" s="470"/>
      <c r="C248" s="397"/>
      <c r="D248" s="471"/>
      <c r="E248" s="472"/>
      <c r="F248" s="177"/>
      <c r="G248" s="470"/>
      <c r="H248" s="397"/>
      <c r="I248" s="471"/>
      <c r="J248" s="472"/>
      <c r="K248" s="177"/>
      <c r="L248" s="470"/>
      <c r="M248" s="397"/>
      <c r="N248" s="471"/>
      <c r="O248" s="472"/>
    </row>
    <row r="249" spans="1:15" ht="16" thickBot="1">
      <c r="A249" s="177"/>
      <c r="B249" s="470"/>
      <c r="C249" s="397"/>
      <c r="D249" s="471"/>
      <c r="E249" s="472"/>
      <c r="F249" s="177"/>
      <c r="G249" s="470"/>
      <c r="H249" s="397"/>
      <c r="I249" s="471"/>
      <c r="J249" s="472"/>
      <c r="K249" s="177"/>
      <c r="L249" s="470"/>
      <c r="M249" s="397"/>
      <c r="N249" s="471"/>
      <c r="O249" s="472"/>
    </row>
    <row r="250" spans="1:15" ht="16" thickBot="1">
      <c r="A250" s="177"/>
      <c r="B250" s="470"/>
      <c r="C250" s="397"/>
      <c r="D250" s="471"/>
      <c r="E250" s="472"/>
      <c r="F250" s="177"/>
      <c r="G250" s="470"/>
      <c r="H250" s="397"/>
      <c r="I250" s="471"/>
      <c r="J250" s="472"/>
      <c r="K250" s="177"/>
      <c r="L250" s="470"/>
      <c r="M250" s="397"/>
      <c r="N250" s="471"/>
      <c r="O250" s="472"/>
    </row>
    <row r="251" spans="1:15" ht="16" thickBot="1">
      <c r="A251" s="177"/>
      <c r="B251" s="470"/>
      <c r="C251" s="397"/>
      <c r="D251" s="471"/>
      <c r="E251" s="472"/>
      <c r="F251" s="177"/>
      <c r="G251" s="470"/>
      <c r="H251" s="397"/>
      <c r="I251" s="471"/>
      <c r="J251" s="472"/>
      <c r="K251" s="177"/>
      <c r="L251" s="470"/>
      <c r="M251" s="397"/>
      <c r="N251" s="471"/>
      <c r="O251" s="472"/>
    </row>
    <row r="252" spans="1:15" ht="16" thickBot="1">
      <c r="A252" s="177"/>
      <c r="B252" s="470"/>
      <c r="C252" s="397"/>
      <c r="D252" s="471"/>
      <c r="E252" s="472"/>
      <c r="F252" s="177"/>
      <c r="G252" s="470"/>
      <c r="H252" s="397"/>
      <c r="I252" s="471"/>
      <c r="J252" s="472"/>
      <c r="K252" s="177"/>
      <c r="L252" s="470"/>
      <c r="M252" s="397"/>
      <c r="N252" s="471"/>
      <c r="O252" s="472"/>
    </row>
    <row r="253" spans="1:15" ht="16" thickBot="1">
      <c r="A253" s="177"/>
      <c r="B253" s="470"/>
      <c r="C253" s="397"/>
      <c r="D253" s="471"/>
      <c r="E253" s="472"/>
      <c r="F253" s="177"/>
      <c r="G253" s="470"/>
      <c r="H253" s="397"/>
      <c r="I253" s="471"/>
      <c r="J253" s="472"/>
      <c r="K253" s="177"/>
      <c r="L253" s="470"/>
      <c r="M253" s="397"/>
      <c r="N253" s="471"/>
      <c r="O253" s="472"/>
    </row>
    <row r="254" spans="1:15" ht="16" thickBot="1">
      <c r="A254" s="177"/>
      <c r="B254" s="470"/>
      <c r="C254" s="397"/>
      <c r="D254" s="471"/>
      <c r="E254" s="472"/>
      <c r="F254" s="177"/>
      <c r="G254" s="470"/>
      <c r="H254" s="397"/>
      <c r="I254" s="471"/>
      <c r="J254" s="472"/>
      <c r="K254" s="177"/>
      <c r="L254" s="470"/>
      <c r="M254" s="397"/>
      <c r="N254" s="471"/>
      <c r="O254" s="472"/>
    </row>
    <row r="255" spans="1:15" ht="16" thickBot="1">
      <c r="A255" s="177"/>
      <c r="B255" s="470"/>
      <c r="C255" s="397"/>
      <c r="D255" s="471"/>
      <c r="E255" s="472"/>
      <c r="F255" s="177"/>
      <c r="G255" s="470"/>
      <c r="H255" s="397"/>
      <c r="I255" s="471"/>
      <c r="J255" s="472"/>
      <c r="K255" s="177"/>
      <c r="L255" s="470"/>
      <c r="M255" s="397"/>
      <c r="N255" s="471"/>
      <c r="O255" s="472"/>
    </row>
    <row r="256" spans="1:15" ht="16" thickBot="1">
      <c r="A256" s="177"/>
      <c r="B256" s="470"/>
      <c r="C256" s="397"/>
      <c r="D256" s="471"/>
      <c r="E256" s="472"/>
      <c r="F256" s="177"/>
      <c r="G256" s="470"/>
      <c r="H256" s="397"/>
      <c r="I256" s="471"/>
      <c r="J256" s="472"/>
      <c r="K256" s="177"/>
      <c r="L256" s="470"/>
      <c r="M256" s="397"/>
      <c r="N256" s="471"/>
      <c r="O256" s="472"/>
    </row>
    <row r="257" spans="1:15" ht="16" thickBot="1">
      <c r="A257" s="177"/>
      <c r="B257" s="470"/>
      <c r="C257" s="397"/>
      <c r="D257" s="471"/>
      <c r="E257" s="472"/>
      <c r="F257" s="177"/>
      <c r="G257" s="470"/>
      <c r="H257" s="397"/>
      <c r="I257" s="471"/>
      <c r="J257" s="472"/>
      <c r="K257" s="177"/>
      <c r="L257" s="470"/>
      <c r="M257" s="397"/>
      <c r="N257" s="471"/>
      <c r="O257" s="472"/>
    </row>
    <row r="258" spans="1:15" ht="16" thickBot="1">
      <c r="A258" s="177"/>
      <c r="B258" s="470"/>
      <c r="C258" s="397"/>
      <c r="D258" s="471"/>
      <c r="E258" s="472"/>
      <c r="F258" s="177"/>
      <c r="G258" s="470"/>
      <c r="H258" s="397"/>
      <c r="I258" s="471"/>
      <c r="J258" s="472"/>
      <c r="K258" s="177"/>
      <c r="L258" s="470"/>
      <c r="M258" s="397"/>
      <c r="N258" s="471"/>
      <c r="O258" s="472"/>
    </row>
    <row r="259" spans="1:15" ht="16" thickBot="1">
      <c r="A259" s="177"/>
      <c r="B259" s="470"/>
      <c r="C259" s="397"/>
      <c r="D259" s="471"/>
      <c r="E259" s="472"/>
      <c r="F259" s="177"/>
      <c r="G259" s="470"/>
      <c r="H259" s="397"/>
      <c r="I259" s="471"/>
      <c r="J259" s="472"/>
      <c r="K259" s="177"/>
      <c r="L259" s="470"/>
      <c r="M259" s="397"/>
      <c r="N259" s="471"/>
      <c r="O259" s="472"/>
    </row>
    <row r="260" spans="1:15" ht="16" thickBot="1">
      <c r="A260" s="177"/>
      <c r="B260" s="470"/>
      <c r="C260" s="397"/>
      <c r="D260" s="471"/>
      <c r="E260" s="472"/>
      <c r="F260" s="177"/>
      <c r="G260" s="470"/>
      <c r="H260" s="397"/>
      <c r="I260" s="471"/>
      <c r="J260" s="472"/>
      <c r="K260" s="177"/>
      <c r="L260" s="470"/>
      <c r="M260" s="397"/>
      <c r="N260" s="471"/>
      <c r="O260" s="472"/>
    </row>
    <row r="261" spans="1:15" ht="16" thickBot="1">
      <c r="A261" s="177"/>
      <c r="B261" s="470"/>
      <c r="C261" s="397"/>
      <c r="D261" s="471"/>
      <c r="E261" s="472"/>
      <c r="F261" s="177"/>
      <c r="G261" s="470"/>
      <c r="H261" s="397"/>
      <c r="I261" s="471"/>
      <c r="J261" s="472"/>
      <c r="K261" s="177"/>
      <c r="L261" s="470"/>
      <c r="M261" s="397"/>
      <c r="N261" s="471"/>
      <c r="O261" s="472"/>
    </row>
    <row r="262" spans="1:15" ht="16" thickBot="1">
      <c r="A262" s="475" t="s">
        <v>400</v>
      </c>
      <c r="B262" s="476"/>
      <c r="C262" s="476"/>
      <c r="D262" s="476"/>
      <c r="E262" s="476"/>
      <c r="F262" s="476"/>
      <c r="G262" s="476"/>
      <c r="H262" s="476"/>
      <c r="I262" s="476"/>
      <c r="J262" s="476"/>
      <c r="K262" s="476"/>
      <c r="L262" s="476"/>
      <c r="M262" s="476"/>
      <c r="N262" s="473">
        <f>SUM(D232:D261,I232:I261,N232:N261)</f>
        <v>0</v>
      </c>
      <c r="O262" s="474"/>
    </row>
    <row r="263" spans="1:15" ht="16.5" thickTop="1" thickBot="1">
      <c r="A263" s="481" t="s">
        <v>153</v>
      </c>
      <c r="B263" s="482"/>
      <c r="C263" s="482"/>
      <c r="D263" s="482"/>
      <c r="E263" s="482"/>
      <c r="F263" s="482"/>
      <c r="G263" s="482"/>
      <c r="H263" s="482"/>
      <c r="I263" s="482"/>
      <c r="J263" s="482"/>
      <c r="K263" s="482"/>
      <c r="L263" s="483"/>
    </row>
    <row r="264" spans="1:15" ht="16" thickBot="1">
      <c r="A264" s="477" t="s">
        <v>50</v>
      </c>
      <c r="B264" s="478"/>
      <c r="C264" s="479" t="s">
        <v>151</v>
      </c>
      <c r="D264" s="480"/>
      <c r="E264" s="477" t="s">
        <v>50</v>
      </c>
      <c r="F264" s="478"/>
      <c r="G264" s="479" t="s">
        <v>151</v>
      </c>
      <c r="H264" s="480"/>
      <c r="I264" s="477" t="s">
        <v>50</v>
      </c>
      <c r="J264" s="478"/>
      <c r="K264" s="479" t="s">
        <v>151</v>
      </c>
      <c r="L264" s="480"/>
    </row>
    <row r="265" spans="1:15" ht="16" thickBot="1">
      <c r="A265" s="396"/>
      <c r="B265" s="397"/>
      <c r="C265" s="394"/>
      <c r="D265" s="395"/>
      <c r="E265" s="396"/>
      <c r="F265" s="397"/>
      <c r="G265" s="394"/>
      <c r="H265" s="395"/>
      <c r="I265" s="396"/>
      <c r="J265" s="397"/>
      <c r="K265" s="394"/>
      <c r="L265" s="395"/>
    </row>
    <row r="266" spans="1:15" ht="16" thickBot="1">
      <c r="A266" s="396"/>
      <c r="B266" s="397"/>
      <c r="C266" s="394"/>
      <c r="D266" s="395"/>
      <c r="E266" s="396"/>
      <c r="F266" s="397"/>
      <c r="G266" s="394"/>
      <c r="H266" s="395"/>
      <c r="I266" s="396"/>
      <c r="J266" s="397"/>
      <c r="K266" s="394"/>
      <c r="L266" s="395"/>
    </row>
    <row r="267" spans="1:15" ht="16" thickBot="1">
      <c r="A267" s="396"/>
      <c r="B267" s="397"/>
      <c r="C267" s="394"/>
      <c r="D267" s="395"/>
      <c r="E267" s="396"/>
      <c r="F267" s="397"/>
      <c r="G267" s="394"/>
      <c r="H267" s="395"/>
      <c r="I267" s="396"/>
      <c r="J267" s="397"/>
      <c r="K267" s="394"/>
      <c r="L267" s="395"/>
    </row>
    <row r="268" spans="1:15" ht="16" thickBot="1">
      <c r="A268" s="396"/>
      <c r="B268" s="397"/>
      <c r="C268" s="394"/>
      <c r="D268" s="395"/>
      <c r="E268" s="396"/>
      <c r="F268" s="397"/>
      <c r="G268" s="394"/>
      <c r="H268" s="395"/>
      <c r="I268" s="396"/>
      <c r="J268" s="397"/>
      <c r="K268" s="394"/>
      <c r="L268" s="395"/>
    </row>
    <row r="269" spans="1:15" ht="16" thickBot="1">
      <c r="A269" s="396"/>
      <c r="B269" s="397"/>
      <c r="C269" s="394"/>
      <c r="D269" s="395"/>
      <c r="E269" s="396"/>
      <c r="F269" s="397"/>
      <c r="G269" s="394"/>
      <c r="H269" s="395"/>
      <c r="I269" s="396"/>
      <c r="J269" s="397"/>
      <c r="K269" s="394"/>
      <c r="L269" s="395"/>
    </row>
    <row r="270" spans="1:15" ht="16" thickBot="1">
      <c r="A270" s="396"/>
      <c r="B270" s="397"/>
      <c r="C270" s="394"/>
      <c r="D270" s="395"/>
      <c r="E270" s="396"/>
      <c r="F270" s="397"/>
      <c r="G270" s="394"/>
      <c r="H270" s="395"/>
      <c r="I270" s="396"/>
      <c r="J270" s="397"/>
      <c r="K270" s="394"/>
      <c r="L270" s="395"/>
    </row>
    <row r="271" spans="1:15" ht="16" thickBot="1">
      <c r="A271" s="396"/>
      <c r="B271" s="397"/>
      <c r="C271" s="394"/>
      <c r="D271" s="395"/>
      <c r="E271" s="396"/>
      <c r="F271" s="397"/>
      <c r="G271" s="394"/>
      <c r="H271" s="395"/>
      <c r="I271" s="396"/>
      <c r="J271" s="397"/>
      <c r="K271" s="394"/>
      <c r="L271" s="395"/>
    </row>
    <row r="272" spans="1:15" ht="16" thickBot="1">
      <c r="A272" s="396"/>
      <c r="B272" s="397"/>
      <c r="C272" s="394"/>
      <c r="D272" s="395"/>
      <c r="E272" s="396"/>
      <c r="F272" s="397"/>
      <c r="G272" s="394"/>
      <c r="H272" s="395"/>
      <c r="I272" s="396"/>
      <c r="J272" s="397"/>
      <c r="K272" s="394"/>
      <c r="L272" s="395"/>
    </row>
    <row r="273" spans="1:12" ht="16" thickBot="1">
      <c r="A273" s="396"/>
      <c r="B273" s="397"/>
      <c r="C273" s="394"/>
      <c r="D273" s="395"/>
      <c r="E273" s="396"/>
      <c r="F273" s="397"/>
      <c r="G273" s="394"/>
      <c r="H273" s="395"/>
      <c r="I273" s="396"/>
      <c r="J273" s="397"/>
      <c r="K273" s="394"/>
      <c r="L273" s="395"/>
    </row>
    <row r="274" spans="1:12" ht="16" thickBot="1">
      <c r="A274" s="396"/>
      <c r="B274" s="397"/>
      <c r="C274" s="394"/>
      <c r="D274" s="395"/>
      <c r="E274" s="396"/>
      <c r="F274" s="397"/>
      <c r="G274" s="394"/>
      <c r="H274" s="395"/>
      <c r="I274" s="396"/>
      <c r="J274" s="397"/>
      <c r="K274" s="394"/>
      <c r="L274" s="395"/>
    </row>
    <row r="275" spans="1:12" ht="16" thickBot="1">
      <c r="A275" s="396"/>
      <c r="B275" s="397"/>
      <c r="C275" s="394"/>
      <c r="D275" s="395"/>
      <c r="E275" s="396"/>
      <c r="F275" s="397"/>
      <c r="G275" s="394"/>
      <c r="H275" s="395"/>
      <c r="I275" s="396"/>
      <c r="J275" s="397"/>
      <c r="K275" s="394"/>
      <c r="L275" s="395"/>
    </row>
    <row r="276" spans="1:12" ht="16" thickBot="1">
      <c r="A276" s="396"/>
      <c r="B276" s="397"/>
      <c r="C276" s="394"/>
      <c r="D276" s="395"/>
      <c r="E276" s="396"/>
      <c r="F276" s="397"/>
      <c r="G276" s="394"/>
      <c r="H276" s="395"/>
      <c r="I276" s="396"/>
      <c r="J276" s="397"/>
      <c r="K276" s="394"/>
      <c r="L276" s="395"/>
    </row>
    <row r="277" spans="1:12" ht="16" thickBot="1">
      <c r="A277" s="396"/>
      <c r="B277" s="397"/>
      <c r="C277" s="394"/>
      <c r="D277" s="395"/>
      <c r="E277" s="396"/>
      <c r="F277" s="397"/>
      <c r="G277" s="394"/>
      <c r="H277" s="395"/>
      <c r="I277" s="396"/>
      <c r="J277" s="397"/>
      <c r="K277" s="394"/>
      <c r="L277" s="395"/>
    </row>
    <row r="278" spans="1:12" ht="16" thickBot="1">
      <c r="A278" s="396"/>
      <c r="B278" s="397"/>
      <c r="C278" s="394"/>
      <c r="D278" s="395"/>
      <c r="E278" s="396"/>
      <c r="F278" s="397"/>
      <c r="G278" s="394"/>
      <c r="H278" s="395"/>
      <c r="I278" s="396"/>
      <c r="J278" s="397"/>
      <c r="K278" s="394"/>
      <c r="L278" s="395"/>
    </row>
    <row r="279" spans="1:12" ht="16" thickBot="1">
      <c r="A279" s="396"/>
      <c r="B279" s="397"/>
      <c r="C279" s="394"/>
      <c r="D279" s="395"/>
      <c r="E279" s="396"/>
      <c r="F279" s="397"/>
      <c r="G279" s="394"/>
      <c r="H279" s="395"/>
      <c r="I279" s="396"/>
      <c r="J279" s="397"/>
      <c r="K279" s="394"/>
      <c r="L279" s="395"/>
    </row>
    <row r="280" spans="1:12" ht="16" thickBot="1">
      <c r="A280" s="396"/>
      <c r="B280" s="397"/>
      <c r="C280" s="394"/>
      <c r="D280" s="395"/>
      <c r="E280" s="396"/>
      <c r="F280" s="397"/>
      <c r="G280" s="394"/>
      <c r="H280" s="395"/>
      <c r="I280" s="396"/>
      <c r="J280" s="397"/>
      <c r="K280" s="394"/>
      <c r="L280" s="395"/>
    </row>
    <row r="281" spans="1:12" ht="16" thickBot="1">
      <c r="A281" s="396"/>
      <c r="B281" s="397"/>
      <c r="C281" s="394"/>
      <c r="D281" s="395"/>
      <c r="E281" s="396"/>
      <c r="F281" s="397"/>
      <c r="G281" s="394"/>
      <c r="H281" s="395"/>
      <c r="I281" s="396"/>
      <c r="J281" s="397"/>
      <c r="K281" s="394"/>
      <c r="L281" s="395"/>
    </row>
    <row r="282" spans="1:12" ht="16" thickBot="1">
      <c r="A282" s="396"/>
      <c r="B282" s="397"/>
      <c r="C282" s="394"/>
      <c r="D282" s="395"/>
      <c r="E282" s="396"/>
      <c r="F282" s="397"/>
      <c r="G282" s="394"/>
      <c r="H282" s="395"/>
      <c r="I282" s="396"/>
      <c r="J282" s="397"/>
      <c r="K282" s="394"/>
      <c r="L282" s="395"/>
    </row>
    <row r="283" spans="1:12" ht="16" thickBot="1">
      <c r="A283" s="396"/>
      <c r="B283" s="397"/>
      <c r="C283" s="394"/>
      <c r="D283" s="395"/>
      <c r="E283" s="396"/>
      <c r="F283" s="397"/>
      <c r="G283" s="394"/>
      <c r="H283" s="395"/>
      <c r="I283" s="396"/>
      <c r="J283" s="397"/>
      <c r="K283" s="394"/>
      <c r="L283" s="395"/>
    </row>
    <row r="284" spans="1:12" ht="16" thickBot="1">
      <c r="A284" s="396"/>
      <c r="B284" s="397"/>
      <c r="C284" s="394"/>
      <c r="D284" s="395"/>
      <c r="E284" s="396"/>
      <c r="F284" s="397"/>
      <c r="G284" s="394"/>
      <c r="H284" s="395"/>
      <c r="I284" s="396"/>
      <c r="J284" s="397"/>
      <c r="K284" s="394"/>
      <c r="L284" s="395"/>
    </row>
    <row r="285" spans="1:12" ht="16" thickBot="1">
      <c r="A285" s="396"/>
      <c r="B285" s="397"/>
      <c r="C285" s="394"/>
      <c r="D285" s="395"/>
      <c r="E285" s="396"/>
      <c r="F285" s="397"/>
      <c r="G285" s="394"/>
      <c r="H285" s="395"/>
      <c r="I285" s="396"/>
      <c r="J285" s="397"/>
      <c r="K285" s="394"/>
      <c r="L285" s="395"/>
    </row>
    <row r="286" spans="1:12" ht="16" thickBot="1">
      <c r="A286" s="396"/>
      <c r="B286" s="397"/>
      <c r="C286" s="394"/>
      <c r="D286" s="395"/>
      <c r="E286" s="396"/>
      <c r="F286" s="397"/>
      <c r="G286" s="394"/>
      <c r="H286" s="395"/>
      <c r="I286" s="396"/>
      <c r="J286" s="397"/>
      <c r="K286" s="394"/>
      <c r="L286" s="395"/>
    </row>
    <row r="287" spans="1:12" ht="16" thickBot="1">
      <c r="A287" s="396"/>
      <c r="B287" s="397"/>
      <c r="C287" s="394"/>
      <c r="D287" s="395"/>
      <c r="E287" s="396"/>
      <c r="F287" s="397"/>
      <c r="G287" s="394"/>
      <c r="H287" s="395"/>
      <c r="I287" s="396"/>
      <c r="J287" s="397"/>
      <c r="K287" s="394"/>
      <c r="L287" s="395"/>
    </row>
    <row r="288" spans="1:12" ht="16" thickBot="1">
      <c r="A288" s="396"/>
      <c r="B288" s="397"/>
      <c r="C288" s="394"/>
      <c r="D288" s="395"/>
      <c r="E288" s="396"/>
      <c r="F288" s="397"/>
      <c r="G288" s="394"/>
      <c r="H288" s="395"/>
      <c r="I288" s="396"/>
      <c r="J288" s="397"/>
      <c r="K288" s="394"/>
      <c r="L288" s="395"/>
    </row>
    <row r="289" spans="1:12" ht="16" thickBot="1">
      <c r="A289" s="396"/>
      <c r="B289" s="397"/>
      <c r="C289" s="394"/>
      <c r="D289" s="395"/>
      <c r="E289" s="396"/>
      <c r="F289" s="397"/>
      <c r="G289" s="394"/>
      <c r="H289" s="395"/>
      <c r="I289" s="396"/>
      <c r="J289" s="397"/>
      <c r="K289" s="394"/>
      <c r="L289" s="395"/>
    </row>
    <row r="290" spans="1:12" ht="16" thickBot="1">
      <c r="A290" s="396"/>
      <c r="B290" s="397"/>
      <c r="C290" s="394"/>
      <c r="D290" s="395"/>
      <c r="E290" s="396"/>
      <c r="F290" s="397"/>
      <c r="G290" s="394"/>
      <c r="H290" s="395"/>
      <c r="I290" s="396"/>
      <c r="J290" s="397"/>
      <c r="K290" s="394"/>
      <c r="L290" s="395"/>
    </row>
    <row r="291" spans="1:12" ht="16" thickBot="1">
      <c r="A291" s="396"/>
      <c r="B291" s="397"/>
      <c r="C291" s="394"/>
      <c r="D291" s="395"/>
      <c r="E291" s="396"/>
      <c r="F291" s="397"/>
      <c r="G291" s="394"/>
      <c r="H291" s="395"/>
      <c r="I291" s="396"/>
      <c r="J291" s="397"/>
      <c r="K291" s="394"/>
      <c r="L291" s="395"/>
    </row>
    <row r="292" spans="1:12" ht="16" thickBot="1">
      <c r="A292" s="396"/>
      <c r="B292" s="397"/>
      <c r="C292" s="394"/>
      <c r="D292" s="395"/>
      <c r="E292" s="396"/>
      <c r="F292" s="397"/>
      <c r="G292" s="394"/>
      <c r="H292" s="395"/>
      <c r="I292" s="396"/>
      <c r="J292" s="397"/>
      <c r="K292" s="394"/>
      <c r="L292" s="395"/>
    </row>
    <row r="293" spans="1:12" ht="16" thickBot="1">
      <c r="A293" s="396"/>
      <c r="B293" s="397"/>
      <c r="C293" s="394"/>
      <c r="D293" s="395"/>
      <c r="E293" s="396"/>
      <c r="F293" s="397"/>
      <c r="G293" s="394"/>
      <c r="H293" s="395"/>
      <c r="I293" s="396"/>
      <c r="J293" s="397"/>
      <c r="K293" s="394"/>
      <c r="L293" s="395"/>
    </row>
    <row r="294" spans="1:12" ht="16" thickBot="1">
      <c r="A294" s="396"/>
      <c r="B294" s="397"/>
      <c r="C294" s="394"/>
      <c r="D294" s="395"/>
      <c r="E294" s="396"/>
      <c r="F294" s="397"/>
      <c r="G294" s="394"/>
      <c r="H294" s="395"/>
      <c r="I294" s="396"/>
      <c r="J294" s="397"/>
      <c r="K294" s="394"/>
      <c r="L294" s="395"/>
    </row>
    <row r="295" spans="1:12" ht="16" thickBot="1">
      <c r="A295" s="502" t="s">
        <v>401</v>
      </c>
      <c r="B295" s="503"/>
      <c r="C295" s="503"/>
      <c r="D295" s="503"/>
      <c r="E295" s="503"/>
      <c r="F295" s="503"/>
      <c r="G295" s="503"/>
      <c r="H295" s="503"/>
      <c r="I295" s="503"/>
      <c r="J295" s="503"/>
      <c r="K295" s="638">
        <f>SUM(C265:C294,G265:G294,K265:K294)</f>
        <v>0</v>
      </c>
      <c r="L295" s="474"/>
    </row>
    <row r="296" spans="1:12" ht="16" thickTop="1">
      <c r="A296" s="631" t="s">
        <v>154</v>
      </c>
      <c r="B296" s="632"/>
      <c r="C296" s="632"/>
      <c r="D296" s="632"/>
      <c r="E296" s="632"/>
      <c r="F296" s="632"/>
      <c r="G296" s="632"/>
      <c r="H296" s="632"/>
      <c r="I296" s="632"/>
      <c r="J296" s="633"/>
    </row>
    <row r="297" spans="1:12" ht="16" thickBot="1">
      <c r="A297" s="634" t="s">
        <v>155</v>
      </c>
      <c r="B297" s="635"/>
      <c r="C297" s="635"/>
      <c r="D297" s="635"/>
      <c r="E297" s="635"/>
      <c r="F297" s="635"/>
      <c r="G297" s="635"/>
      <c r="H297" s="635"/>
      <c r="I297" s="635"/>
      <c r="J297" s="636"/>
    </row>
    <row r="298" spans="1:12" ht="16.5" thickTop="1" thickBot="1">
      <c r="A298" s="26" t="s">
        <v>156</v>
      </c>
      <c r="B298" s="637" t="s">
        <v>151</v>
      </c>
      <c r="C298" s="630"/>
      <c r="D298" s="26" t="s">
        <v>156</v>
      </c>
      <c r="E298" s="630" t="s">
        <v>151</v>
      </c>
      <c r="F298" s="483"/>
      <c r="G298" s="26" t="s">
        <v>156</v>
      </c>
      <c r="H298" s="630" t="s">
        <v>151</v>
      </c>
      <c r="I298" s="482"/>
      <c r="J298" s="483"/>
    </row>
    <row r="299" spans="1:12" ht="16" thickBot="1">
      <c r="A299" s="178"/>
      <c r="B299" s="522"/>
      <c r="C299" s="524"/>
      <c r="D299" s="178"/>
      <c r="E299" s="522"/>
      <c r="F299" s="524"/>
      <c r="G299" s="178"/>
      <c r="H299" s="522"/>
      <c r="I299" s="523"/>
      <c r="J299" s="524"/>
    </row>
    <row r="300" spans="1:12" ht="16" thickBot="1">
      <c r="A300" s="178"/>
      <c r="B300" s="522"/>
      <c r="C300" s="524"/>
      <c r="D300" s="178"/>
      <c r="E300" s="522"/>
      <c r="F300" s="524"/>
      <c r="G300" s="178"/>
      <c r="H300" s="522"/>
      <c r="I300" s="523"/>
      <c r="J300" s="524"/>
    </row>
    <row r="301" spans="1:12" ht="16" thickBot="1">
      <c r="A301" s="178"/>
      <c r="B301" s="522"/>
      <c r="C301" s="524"/>
      <c r="D301" s="178"/>
      <c r="E301" s="522"/>
      <c r="F301" s="524"/>
      <c r="G301" s="178"/>
      <c r="H301" s="522"/>
      <c r="I301" s="523"/>
      <c r="J301" s="524"/>
    </row>
    <row r="302" spans="1:12" ht="16" thickBot="1">
      <c r="A302" s="178"/>
      <c r="B302" s="522"/>
      <c r="C302" s="524"/>
      <c r="D302" s="178"/>
      <c r="E302" s="522"/>
      <c r="F302" s="524"/>
      <c r="G302" s="178"/>
      <c r="H302" s="522"/>
      <c r="I302" s="523"/>
      <c r="J302" s="524"/>
    </row>
    <row r="303" spans="1:12" ht="16" thickBot="1">
      <c r="A303" s="178"/>
      <c r="B303" s="522"/>
      <c r="C303" s="524"/>
      <c r="D303" s="178"/>
      <c r="E303" s="522"/>
      <c r="F303" s="524"/>
      <c r="G303" s="178"/>
      <c r="H303" s="522"/>
      <c r="I303" s="523"/>
      <c r="J303" s="524"/>
    </row>
    <row r="304" spans="1:12" ht="16" thickBot="1">
      <c r="A304" s="178"/>
      <c r="B304" s="522"/>
      <c r="C304" s="524"/>
      <c r="D304" s="178"/>
      <c r="E304" s="522"/>
      <c r="F304" s="524"/>
      <c r="G304" s="178"/>
      <c r="H304" s="522"/>
      <c r="I304" s="523"/>
      <c r="J304" s="524"/>
    </row>
    <row r="305" spans="1:10" ht="16" thickBot="1">
      <c r="A305" s="178"/>
      <c r="B305" s="522"/>
      <c r="C305" s="524"/>
      <c r="D305" s="178"/>
      <c r="E305" s="522"/>
      <c r="F305" s="524"/>
      <c r="G305" s="178"/>
      <c r="H305" s="522"/>
      <c r="I305" s="523"/>
      <c r="J305" s="524"/>
    </row>
    <row r="306" spans="1:10" ht="16" thickBot="1">
      <c r="A306" s="178"/>
      <c r="B306" s="522"/>
      <c r="C306" s="524"/>
      <c r="D306" s="178"/>
      <c r="E306" s="522"/>
      <c r="F306" s="524"/>
      <c r="G306" s="178"/>
      <c r="H306" s="522"/>
      <c r="I306" s="523"/>
      <c r="J306" s="524"/>
    </row>
    <row r="307" spans="1:10" ht="16" thickBot="1">
      <c r="A307" s="178"/>
      <c r="B307" s="522"/>
      <c r="C307" s="524"/>
      <c r="D307" s="178"/>
      <c r="E307" s="522"/>
      <c r="F307" s="524"/>
      <c r="G307" s="178"/>
      <c r="H307" s="522"/>
      <c r="I307" s="523"/>
      <c r="J307" s="524"/>
    </row>
    <row r="308" spans="1:10" ht="16" thickBot="1">
      <c r="A308" s="178"/>
      <c r="B308" s="522"/>
      <c r="C308" s="524"/>
      <c r="D308" s="178"/>
      <c r="E308" s="522"/>
      <c r="F308" s="524"/>
      <c r="G308" s="178"/>
      <c r="H308" s="522"/>
      <c r="I308" s="523"/>
      <c r="J308" s="524"/>
    </row>
    <row r="309" spans="1:10" ht="16" thickBot="1">
      <c r="A309" s="178"/>
      <c r="B309" s="522"/>
      <c r="C309" s="524"/>
      <c r="D309" s="178"/>
      <c r="E309" s="522"/>
      <c r="F309" s="524"/>
      <c r="G309" s="178"/>
      <c r="H309" s="522"/>
      <c r="I309" s="523"/>
      <c r="J309" s="524"/>
    </row>
    <row r="310" spans="1:10" ht="16" thickBot="1">
      <c r="A310" s="178"/>
      <c r="B310" s="522"/>
      <c r="C310" s="524"/>
      <c r="D310" s="178"/>
      <c r="E310" s="522"/>
      <c r="F310" s="524"/>
      <c r="G310" s="178"/>
      <c r="H310" s="522"/>
      <c r="I310" s="523"/>
      <c r="J310" s="524"/>
    </row>
    <row r="311" spans="1:10" ht="16" thickBot="1">
      <c r="A311" s="178"/>
      <c r="B311" s="522"/>
      <c r="C311" s="524"/>
      <c r="D311" s="178"/>
      <c r="E311" s="522"/>
      <c r="F311" s="524"/>
      <c r="G311" s="178"/>
      <c r="H311" s="522"/>
      <c r="I311" s="523"/>
      <c r="J311" s="524"/>
    </row>
    <row r="312" spans="1:10" ht="16" thickBot="1">
      <c r="A312" s="178"/>
      <c r="B312" s="522"/>
      <c r="C312" s="524"/>
      <c r="D312" s="178"/>
      <c r="E312" s="522"/>
      <c r="F312" s="524"/>
      <c r="G312" s="178"/>
      <c r="H312" s="522"/>
      <c r="I312" s="523"/>
      <c r="J312" s="524"/>
    </row>
    <row r="313" spans="1:10" ht="16" thickBot="1">
      <c r="A313" s="178"/>
      <c r="B313" s="522"/>
      <c r="C313" s="524"/>
      <c r="D313" s="178"/>
      <c r="E313" s="522"/>
      <c r="F313" s="524"/>
      <c r="G313" s="178"/>
      <c r="H313" s="522"/>
      <c r="I313" s="523"/>
      <c r="J313" s="524"/>
    </row>
    <row r="314" spans="1:10" ht="16" thickBot="1">
      <c r="A314" s="178"/>
      <c r="B314" s="522"/>
      <c r="C314" s="524"/>
      <c r="D314" s="178"/>
      <c r="E314" s="522"/>
      <c r="F314" s="524"/>
      <c r="G314" s="178"/>
      <c r="H314" s="522"/>
      <c r="I314" s="523"/>
      <c r="J314" s="524"/>
    </row>
    <row r="315" spans="1:10" ht="16" thickBot="1">
      <c r="A315" s="178"/>
      <c r="B315" s="522"/>
      <c r="C315" s="524"/>
      <c r="D315" s="178"/>
      <c r="E315" s="522"/>
      <c r="F315" s="524"/>
      <c r="G315" s="178"/>
      <c r="H315" s="522"/>
      <c r="I315" s="523"/>
      <c r="J315" s="524"/>
    </row>
    <row r="316" spans="1:10" ht="16" thickBot="1">
      <c r="A316" s="178"/>
      <c r="B316" s="522"/>
      <c r="C316" s="524"/>
      <c r="D316" s="178"/>
      <c r="E316" s="522"/>
      <c r="F316" s="524"/>
      <c r="G316" s="178"/>
      <c r="H316" s="522"/>
      <c r="I316" s="523"/>
      <c r="J316" s="524"/>
    </row>
    <row r="317" spans="1:10" ht="16" thickBot="1">
      <c r="A317" s="178"/>
      <c r="B317" s="522"/>
      <c r="C317" s="524"/>
      <c r="D317" s="178"/>
      <c r="E317" s="522"/>
      <c r="F317" s="524"/>
      <c r="G317" s="178"/>
      <c r="H317" s="522"/>
      <c r="I317" s="523"/>
      <c r="J317" s="524"/>
    </row>
    <row r="318" spans="1:10" ht="16" thickBot="1">
      <c r="A318" s="178"/>
      <c r="B318" s="522"/>
      <c r="C318" s="524"/>
      <c r="D318" s="178"/>
      <c r="E318" s="522"/>
      <c r="F318" s="524"/>
      <c r="G318" s="178"/>
      <c r="H318" s="522"/>
      <c r="I318" s="523"/>
      <c r="J318" s="524"/>
    </row>
    <row r="319" spans="1:10" ht="16" thickBot="1">
      <c r="A319" s="178"/>
      <c r="B319" s="522"/>
      <c r="C319" s="524"/>
      <c r="D319" s="178"/>
      <c r="E319" s="522"/>
      <c r="F319" s="524"/>
      <c r="G319" s="178"/>
      <c r="H319" s="522"/>
      <c r="I319" s="523"/>
      <c r="J319" s="524"/>
    </row>
    <row r="320" spans="1:10" ht="16" thickBot="1">
      <c r="A320" s="178"/>
      <c r="B320" s="522"/>
      <c r="C320" s="524"/>
      <c r="D320" s="178"/>
      <c r="E320" s="522"/>
      <c r="F320" s="524"/>
      <c r="G320" s="178"/>
      <c r="H320" s="522"/>
      <c r="I320" s="523"/>
      <c r="J320" s="524"/>
    </row>
    <row r="321" spans="1:10" ht="16" thickBot="1">
      <c r="A321" s="178"/>
      <c r="B321" s="522"/>
      <c r="C321" s="524"/>
      <c r="D321" s="178"/>
      <c r="E321" s="522"/>
      <c r="F321" s="524"/>
      <c r="G321" s="178"/>
      <c r="H321" s="522"/>
      <c r="I321" s="523"/>
      <c r="J321" s="524"/>
    </row>
    <row r="322" spans="1:10" ht="16" thickBot="1">
      <c r="A322" s="178"/>
      <c r="B322" s="522"/>
      <c r="C322" s="524"/>
      <c r="D322" s="178"/>
      <c r="E322" s="522"/>
      <c r="F322" s="524"/>
      <c r="G322" s="178"/>
      <c r="H322" s="522"/>
      <c r="I322" s="523"/>
      <c r="J322" s="524"/>
    </row>
    <row r="323" spans="1:10" ht="16" thickBot="1">
      <c r="A323" s="178"/>
      <c r="B323" s="522"/>
      <c r="C323" s="524"/>
      <c r="D323" s="178"/>
      <c r="E323" s="522"/>
      <c r="F323" s="524"/>
      <c r="G323" s="178"/>
      <c r="H323" s="522"/>
      <c r="I323" s="523"/>
      <c r="J323" s="524"/>
    </row>
    <row r="324" spans="1:10" ht="16" thickBot="1">
      <c r="A324" s="178"/>
      <c r="B324" s="522"/>
      <c r="C324" s="524"/>
      <c r="D324" s="178"/>
      <c r="E324" s="522"/>
      <c r="F324" s="524"/>
      <c r="G324" s="178"/>
      <c r="H324" s="522"/>
      <c r="I324" s="523"/>
      <c r="J324" s="524"/>
    </row>
    <row r="325" spans="1:10" ht="16" thickBot="1">
      <c r="A325" s="178"/>
      <c r="B325" s="522"/>
      <c r="C325" s="524"/>
      <c r="D325" s="178"/>
      <c r="E325" s="522"/>
      <c r="F325" s="524"/>
      <c r="G325" s="178"/>
      <c r="H325" s="522"/>
      <c r="I325" s="523"/>
      <c r="J325" s="524"/>
    </row>
    <row r="326" spans="1:10" ht="16" thickBot="1">
      <c r="A326" s="178"/>
      <c r="B326" s="522"/>
      <c r="C326" s="524"/>
      <c r="D326" s="178"/>
      <c r="E326" s="522"/>
      <c r="F326" s="524"/>
      <c r="G326" s="178"/>
      <c r="H326" s="522"/>
      <c r="I326" s="523"/>
      <c r="J326" s="524"/>
    </row>
    <row r="327" spans="1:10" ht="16" thickBot="1">
      <c r="A327" s="178"/>
      <c r="B327" s="522"/>
      <c r="C327" s="524"/>
      <c r="D327" s="178"/>
      <c r="E327" s="522"/>
      <c r="F327" s="524"/>
      <c r="G327" s="178"/>
      <c r="H327" s="522"/>
      <c r="I327" s="523"/>
      <c r="J327" s="524"/>
    </row>
    <row r="328" spans="1:10" ht="16" thickBot="1">
      <c r="A328" s="179"/>
      <c r="B328" s="710"/>
      <c r="C328" s="711"/>
      <c r="D328" s="179"/>
      <c r="E328" s="522"/>
      <c r="F328" s="524"/>
      <c r="G328" s="179"/>
      <c r="H328" s="522"/>
      <c r="I328" s="523"/>
      <c r="J328" s="524"/>
    </row>
    <row r="329" spans="1:10" ht="16" thickBot="1">
      <c r="A329" s="502" t="s">
        <v>102</v>
      </c>
      <c r="B329" s="503"/>
      <c r="C329" s="503"/>
      <c r="D329" s="503"/>
      <c r="E329" s="503"/>
      <c r="F329" s="503"/>
      <c r="G329" s="712"/>
      <c r="H329" s="713">
        <f>SUM(B299:B328,E299:E328,H299:H328)</f>
        <v>0</v>
      </c>
      <c r="I329" s="714"/>
      <c r="J329" s="715"/>
    </row>
    <row r="330" spans="1:10" ht="16.5" thickTop="1" thickBot="1">
      <c r="A330" s="707" t="s">
        <v>898</v>
      </c>
      <c r="B330" s="708"/>
      <c r="C330" s="708"/>
      <c r="D330" s="708"/>
      <c r="E330" s="708"/>
      <c r="F330" s="708"/>
      <c r="G330" s="708"/>
      <c r="H330" s="708"/>
      <c r="I330" s="708"/>
      <c r="J330" s="709"/>
    </row>
    <row r="331" spans="1:10" ht="15" customHeight="1" thickBot="1">
      <c r="A331" s="663" t="s">
        <v>120</v>
      </c>
      <c r="B331" s="664"/>
      <c r="C331" s="664"/>
      <c r="D331" s="664"/>
      <c r="E331" s="664"/>
      <c r="F331" s="661"/>
      <c r="G331" s="662"/>
      <c r="H331" s="17" t="s">
        <v>131</v>
      </c>
      <c r="I331" s="649"/>
      <c r="J331" s="650"/>
    </row>
    <row r="332" spans="1:10" s="5" customFormat="1" ht="15" customHeight="1" thickBot="1">
      <c r="A332" s="647" t="s">
        <v>121</v>
      </c>
      <c r="B332" s="648"/>
      <c r="C332" s="648"/>
      <c r="D332" s="648"/>
      <c r="E332" s="648"/>
      <c r="F332" s="648"/>
      <c r="G332" s="648"/>
      <c r="H332" s="17" t="s">
        <v>132</v>
      </c>
      <c r="I332" s="651">
        <f>Std_VIII_TotalDepositsInTransit</f>
        <v>0</v>
      </c>
      <c r="J332" s="652"/>
    </row>
    <row r="333" spans="1:10" ht="15" customHeight="1" thickBot="1">
      <c r="A333" s="647" t="s">
        <v>122</v>
      </c>
      <c r="B333" s="648"/>
      <c r="C333" s="648"/>
      <c r="D333" s="648"/>
      <c r="E333" s="648"/>
      <c r="F333" s="648"/>
      <c r="G333" s="648"/>
      <c r="H333" s="17" t="s">
        <v>133</v>
      </c>
      <c r="I333" s="651">
        <f>Std_VIII_TotalOutstandingChecks</f>
        <v>0</v>
      </c>
      <c r="J333" s="652"/>
    </row>
    <row r="334" spans="1:10" ht="15" customHeight="1" thickBot="1">
      <c r="A334" s="536" t="s">
        <v>124</v>
      </c>
      <c r="B334" s="537"/>
      <c r="C334" s="537"/>
      <c r="D334" s="537"/>
      <c r="E334" s="537"/>
      <c r="F334" s="537"/>
      <c r="G334" s="21" t="s">
        <v>123</v>
      </c>
      <c r="H334" s="17" t="s">
        <v>134</v>
      </c>
      <c r="I334" s="651">
        <f>I331 + I332 - ABS(I333)</f>
        <v>0</v>
      </c>
      <c r="J334" s="652"/>
    </row>
    <row r="335" spans="1:10" ht="15" customHeight="1">
      <c r="A335" s="532" t="s">
        <v>125</v>
      </c>
      <c r="B335" s="533"/>
      <c r="C335" s="533"/>
      <c r="D335" s="533"/>
      <c r="E335" s="533"/>
      <c r="F335" s="534"/>
      <c r="G335" s="535"/>
      <c r="H335" s="659" t="s">
        <v>135</v>
      </c>
      <c r="I335" s="665"/>
      <c r="J335" s="666"/>
    </row>
    <row r="336" spans="1:10" ht="15" customHeight="1" thickBot="1">
      <c r="A336" s="538" t="s">
        <v>126</v>
      </c>
      <c r="B336" s="539"/>
      <c r="C336" s="539"/>
      <c r="D336" s="539"/>
      <c r="E336" s="539"/>
      <c r="F336" s="539"/>
      <c r="G336" s="540"/>
      <c r="H336" s="660"/>
      <c r="I336" s="667"/>
      <c r="J336" s="668"/>
    </row>
    <row r="337" spans="1:10" ht="15" customHeight="1" thickBot="1">
      <c r="A337" s="663" t="s">
        <v>127</v>
      </c>
      <c r="B337" s="664"/>
      <c r="C337" s="664"/>
      <c r="D337" s="664"/>
      <c r="E337" s="664"/>
      <c r="F337" s="664"/>
      <c r="G337" s="21" t="s">
        <v>128</v>
      </c>
      <c r="H337" s="17" t="s">
        <v>136</v>
      </c>
      <c r="I337" s="651" t="str">
        <f>IF(OR(Std_VIII_AdjBalPerBank = "",  Std_VIII_TotPtyCashOnHand = ""), "", Std_VIII_AdjBalPerBank + Std_VIII_TotPtyCashOnHand)</f>
        <v/>
      </c>
      <c r="J337" s="652"/>
    </row>
    <row r="338" spans="1:10" ht="15" customHeight="1" thickBot="1">
      <c r="A338" s="663" t="s">
        <v>129</v>
      </c>
      <c r="B338" s="664"/>
      <c r="C338" s="664"/>
      <c r="D338" s="664"/>
      <c r="E338" s="664"/>
      <c r="F338" s="664"/>
      <c r="G338" s="180"/>
      <c r="H338" s="17" t="s">
        <v>137</v>
      </c>
      <c r="I338" s="649"/>
      <c r="J338" s="650"/>
    </row>
    <row r="339" spans="1:10" ht="15" customHeight="1" thickBot="1">
      <c r="A339" s="647" t="s">
        <v>130</v>
      </c>
      <c r="B339" s="648"/>
      <c r="C339" s="648"/>
      <c r="D339" s="648"/>
      <c r="E339" s="648"/>
      <c r="F339" s="648"/>
      <c r="G339" s="648"/>
      <c r="H339" s="17" t="s">
        <v>138</v>
      </c>
      <c r="I339" s="649"/>
      <c r="J339" s="650"/>
    </row>
    <row r="340" spans="1:10" ht="15" customHeight="1" thickBot="1">
      <c r="A340" s="647" t="s">
        <v>139</v>
      </c>
      <c r="B340" s="648"/>
      <c r="C340" s="648"/>
      <c r="D340" s="648"/>
      <c r="E340" s="648"/>
      <c r="F340" s="648"/>
      <c r="G340" s="648"/>
      <c r="H340" s="17" t="s">
        <v>140</v>
      </c>
      <c r="I340" s="649"/>
      <c r="J340" s="650"/>
    </row>
    <row r="341" spans="1:10" ht="30" customHeight="1" thickBot="1">
      <c r="A341" s="644" t="s">
        <v>141</v>
      </c>
      <c r="B341" s="645"/>
      <c r="C341" s="645"/>
      <c r="D341" s="645"/>
      <c r="E341" s="645"/>
      <c r="F341" s="645"/>
      <c r="G341" s="646"/>
      <c r="H341" s="23" t="s">
        <v>142</v>
      </c>
      <c r="I341" s="649"/>
      <c r="J341" s="650"/>
    </row>
    <row r="342" spans="1:10" ht="15" customHeight="1" thickBot="1">
      <c r="A342" s="663" t="s">
        <v>143</v>
      </c>
      <c r="B342" s="664"/>
      <c r="C342" s="664"/>
      <c r="D342" s="664"/>
      <c r="E342" s="664"/>
      <c r="F342" s="664"/>
      <c r="G342" s="21" t="s">
        <v>144</v>
      </c>
      <c r="H342" s="17" t="s">
        <v>145</v>
      </c>
      <c r="I342" s="651">
        <f>I338 + I339 - ABS(I340) -ABS(I341)</f>
        <v>0</v>
      </c>
      <c r="J342" s="652"/>
    </row>
    <row r="343" spans="1:10" ht="15" customHeight="1" thickBot="1">
      <c r="A343" s="541" t="s">
        <v>146</v>
      </c>
      <c r="B343" s="542"/>
      <c r="C343" s="542"/>
      <c r="D343" s="542"/>
      <c r="E343" s="542"/>
      <c r="F343" s="542"/>
      <c r="G343" s="24" t="s">
        <v>147</v>
      </c>
      <c r="H343" s="23" t="s">
        <v>148</v>
      </c>
      <c r="I343" s="639" t="str">
        <f>IF(I337 = "", "", I337 - I342)</f>
        <v/>
      </c>
      <c r="J343" s="640"/>
    </row>
    <row r="344" spans="1:10" ht="30" customHeight="1" thickBot="1">
      <c r="A344" s="541" t="s">
        <v>426</v>
      </c>
      <c r="B344" s="542"/>
      <c r="C344" s="542"/>
      <c r="D344" s="542"/>
      <c r="E344" s="542"/>
      <c r="F344" s="542"/>
      <c r="G344" s="658"/>
      <c r="H344" s="78" t="s">
        <v>284</v>
      </c>
      <c r="I344" s="656"/>
      <c r="J344" s="657"/>
    </row>
    <row r="345" spans="1:10" ht="30" customHeight="1" thickBot="1">
      <c r="A345" s="541" t="s">
        <v>427</v>
      </c>
      <c r="B345" s="542"/>
      <c r="C345" s="542"/>
      <c r="D345" s="542"/>
      <c r="E345" s="542"/>
      <c r="F345" s="542"/>
      <c r="G345" s="658"/>
      <c r="H345" s="78" t="s">
        <v>285</v>
      </c>
      <c r="I345" s="656"/>
      <c r="J345" s="657"/>
    </row>
    <row r="346" spans="1:10" ht="15" customHeight="1" thickBot="1">
      <c r="A346" s="641" t="s">
        <v>926</v>
      </c>
      <c r="B346" s="642"/>
      <c r="C346" s="642"/>
      <c r="D346" s="642"/>
      <c r="E346" s="642"/>
      <c r="F346" s="642"/>
      <c r="G346" s="642"/>
      <c r="H346" s="642"/>
      <c r="I346" s="642"/>
      <c r="J346" s="643"/>
    </row>
    <row r="347" spans="1:10" ht="30" customHeight="1" thickTop="1">
      <c r="A347" s="426" t="s">
        <v>117</v>
      </c>
      <c r="B347" s="427"/>
      <c r="C347" s="427"/>
      <c r="D347" s="427"/>
      <c r="E347" s="427"/>
      <c r="F347" s="427"/>
      <c r="G347" s="427"/>
      <c r="H347" s="428"/>
      <c r="I347" s="669" t="str">
        <f>IF(Standard_VIII_1a_NotCalc = "", "", IF(Standard_VIII_1a_NotCalc = "N", "NA", IF(Standard_VIII_1b_NotCalc = "", "", IF(Standard_VIII_1b_NotCalc = "N", "N", IF(Std_VIII_AcctOverShort = 0, "Y", IF(COUNTBLANK(I343:I345) &gt; 0, "", IF(Std_VIII_AcctOverShort &gt; 0, IF(Standard_VIII_1m = "N", "N", IF(Standard_VIII_1n = "NA", "Y", "")), IF(Standard_VIII_1n = "NA", "", IF(AND(Standard_VIII_1m = "N", Standard_VIII_1n = "N"), "N", "Y")))))))))</f>
        <v/>
      </c>
      <c r="J347" s="670"/>
    </row>
    <row r="348" spans="1:10" ht="15" customHeight="1">
      <c r="A348" s="484" t="s">
        <v>1094</v>
      </c>
      <c r="B348" s="485"/>
      <c r="C348" s="485"/>
      <c r="D348" s="485"/>
      <c r="E348" s="485"/>
      <c r="F348" s="485"/>
      <c r="G348" s="485"/>
      <c r="H348" s="486"/>
      <c r="I348" s="671"/>
      <c r="J348" s="672"/>
    </row>
    <row r="349" spans="1:10" ht="15" customHeight="1">
      <c r="A349" s="484"/>
      <c r="B349" s="485"/>
      <c r="C349" s="485"/>
      <c r="D349" s="485"/>
      <c r="E349" s="485"/>
      <c r="F349" s="485"/>
      <c r="G349" s="485"/>
      <c r="H349" s="486"/>
      <c r="I349" s="671"/>
      <c r="J349" s="672"/>
    </row>
    <row r="350" spans="1:10" ht="15" customHeight="1">
      <c r="A350" s="484"/>
      <c r="B350" s="485"/>
      <c r="C350" s="485"/>
      <c r="D350" s="485"/>
      <c r="E350" s="485"/>
      <c r="F350" s="485"/>
      <c r="G350" s="485"/>
      <c r="H350" s="486"/>
      <c r="I350" s="671"/>
      <c r="J350" s="672"/>
    </row>
    <row r="351" spans="1:10" ht="15" customHeight="1">
      <c r="A351" s="484"/>
      <c r="B351" s="485"/>
      <c r="C351" s="485"/>
      <c r="D351" s="485"/>
      <c r="E351" s="485"/>
      <c r="F351" s="485"/>
      <c r="G351" s="485"/>
      <c r="H351" s="486"/>
      <c r="I351" s="671"/>
      <c r="J351" s="672"/>
    </row>
    <row r="352" spans="1:10" ht="15" customHeight="1" thickBot="1">
      <c r="A352" s="653"/>
      <c r="B352" s="654"/>
      <c r="C352" s="654"/>
      <c r="D352" s="654"/>
      <c r="E352" s="654"/>
      <c r="F352" s="654"/>
      <c r="G352" s="654"/>
      <c r="H352" s="655"/>
      <c r="I352" s="673"/>
      <c r="J352" s="674"/>
    </row>
    <row r="353" spans="1:11" ht="16" thickTop="1">
      <c r="A353" s="432" t="s">
        <v>14</v>
      </c>
      <c r="B353" s="422"/>
      <c r="C353" s="422"/>
      <c r="D353" s="422"/>
      <c r="E353" s="422"/>
      <c r="F353" s="422"/>
      <c r="G353" s="422"/>
      <c r="H353" s="422"/>
      <c r="I353" s="422"/>
      <c r="J353" s="423"/>
    </row>
    <row r="354" spans="1:11" ht="16" thickBot="1">
      <c r="A354" s="433"/>
      <c r="B354" s="442"/>
      <c r="C354" s="442"/>
      <c r="D354" s="442"/>
      <c r="E354" s="442"/>
      <c r="F354" s="442"/>
      <c r="G354" s="442"/>
      <c r="H354" s="442"/>
      <c r="I354" s="442"/>
      <c r="J354" s="443"/>
    </row>
    <row r="355" spans="1:11" ht="16" thickTop="1">
      <c r="A355" s="447" t="s">
        <v>157</v>
      </c>
      <c r="B355" s="448"/>
      <c r="C355" s="448"/>
      <c r="D355" s="448"/>
      <c r="E355" s="448"/>
      <c r="F355" s="448"/>
      <c r="G355" s="448"/>
      <c r="H355" s="448"/>
      <c r="I355" s="448"/>
      <c r="J355" s="449"/>
    </row>
    <row r="356" spans="1:11" ht="16" thickBot="1">
      <c r="A356" s="525" t="s">
        <v>1096</v>
      </c>
      <c r="B356" s="526"/>
      <c r="C356" s="526"/>
      <c r="D356" s="526"/>
      <c r="E356" s="526"/>
      <c r="F356" s="526"/>
      <c r="G356" s="526"/>
      <c r="H356" s="526"/>
      <c r="I356" s="526"/>
      <c r="J356" s="527"/>
    </row>
    <row r="357" spans="1:11" ht="16.5" thickTop="1" thickBot="1">
      <c r="A357" s="426" t="s">
        <v>158</v>
      </c>
      <c r="B357" s="427"/>
      <c r="C357" s="427"/>
      <c r="D357" s="427"/>
      <c r="E357" s="428"/>
      <c r="F357" s="3">
        <v>1</v>
      </c>
      <c r="G357" s="3">
        <v>2</v>
      </c>
      <c r="H357" s="3">
        <v>3</v>
      </c>
      <c r="I357" s="3">
        <v>4</v>
      </c>
      <c r="J357" s="3">
        <v>5</v>
      </c>
    </row>
    <row r="358" spans="1:11" ht="16.5" thickTop="1" thickBot="1">
      <c r="A358" s="429"/>
      <c r="B358" s="430"/>
      <c r="C358" s="430"/>
      <c r="D358" s="430"/>
      <c r="E358" s="431"/>
      <c r="F358" s="4" t="str">
        <f ca="1">IF('IWP01'!ContractNumber = "", "", IF('IWP01'!Std9dot1 = "", "E", 'IWP01'!Std9dot1))</f>
        <v/>
      </c>
      <c r="G358" s="4" t="str">
        <f ca="1">IF('IWP02'!ContractNumber = "", "", IF('IWP02'!Std9dot1 = "", "E", 'IWP02'!Std9dot1))</f>
        <v/>
      </c>
      <c r="H358" s="4" t="str">
        <f ca="1">IF('IWP03'!ContractNumber = "", "", IF('IWP03'!Std9dot1 = "", "E", 'IWP03'!Std9dot1))</f>
        <v/>
      </c>
      <c r="I358" s="4" t="str">
        <f ca="1">IF('IWP04'!ContractNumber = "", "", IF('IWP04'!Std9dot1 = "", "E", 'IWP04'!Std9dot1))</f>
        <v/>
      </c>
      <c r="J358" s="4" t="str">
        <f ca="1">IF('IWP05'!ContractNumber = "", "", IF('IWP05'!Std9dot1 = "", "E", 'IWP05'!Std9dot1))</f>
        <v/>
      </c>
    </row>
    <row r="359" spans="1:11" ht="16.5" thickTop="1" thickBot="1">
      <c r="A359" s="429"/>
      <c r="B359" s="430"/>
      <c r="C359" s="430"/>
      <c r="D359" s="430"/>
      <c r="E359" s="431"/>
      <c r="F359" s="3">
        <v>6</v>
      </c>
      <c r="G359" s="3">
        <v>7</v>
      </c>
      <c r="H359" s="3">
        <v>8</v>
      </c>
      <c r="I359" s="412"/>
      <c r="J359" s="413"/>
    </row>
    <row r="360" spans="1:11" ht="16.5" thickTop="1" thickBot="1">
      <c r="A360" s="439" t="s">
        <v>1097</v>
      </c>
      <c r="B360" s="440"/>
      <c r="C360" s="440"/>
      <c r="D360" s="440"/>
      <c r="E360" s="441"/>
      <c r="F360" s="4" t="str">
        <f ca="1">IF('IWP06'!ContractNumber = "", "", IF('IWP06'!Std9dot1 = "", "E", 'IWP06'!Std9dot1))</f>
        <v/>
      </c>
      <c r="G360" s="4" t="str">
        <f ca="1">IF('IWP07'!ContractNumber = "", "", IF('IWP07'!Std9dot1 = "", "E", 'IWP07'!Std9dot1))</f>
        <v/>
      </c>
      <c r="H360" s="4" t="str">
        <f ca="1">IF('IWP08'!ContractNumber = "", "", IF('IWP08'!Std9dot1 = "", "E", 'IWP08'!Std9dot1))</f>
        <v/>
      </c>
      <c r="I360" s="414"/>
      <c r="J360" s="415"/>
    </row>
    <row r="361" spans="1:11" ht="16" thickTop="1">
      <c r="A361" s="439"/>
      <c r="B361" s="440"/>
      <c r="C361" s="440"/>
      <c r="D361" s="440"/>
      <c r="E361" s="441"/>
      <c r="F361" s="414"/>
      <c r="G361" s="416"/>
      <c r="H361" s="416"/>
      <c r="I361" s="416"/>
      <c r="J361" s="415"/>
    </row>
    <row r="362" spans="1:11">
      <c r="A362" s="439"/>
      <c r="B362" s="440"/>
      <c r="C362" s="440"/>
      <c r="D362" s="440"/>
      <c r="E362" s="441"/>
      <c r="F362" s="414"/>
      <c r="G362" s="416"/>
      <c r="H362" s="416"/>
      <c r="I362" s="416"/>
      <c r="J362" s="415"/>
    </row>
    <row r="363" spans="1:11">
      <c r="A363" s="461" t="s">
        <v>926</v>
      </c>
      <c r="B363" s="462"/>
      <c r="C363" s="462"/>
      <c r="D363" s="462"/>
      <c r="E363" s="463"/>
      <c r="F363" s="414"/>
      <c r="G363" s="416"/>
      <c r="H363" s="416"/>
      <c r="I363" s="416"/>
      <c r="J363" s="415"/>
    </row>
    <row r="364" spans="1:11">
      <c r="A364" s="461"/>
      <c r="B364" s="462"/>
      <c r="C364" s="462"/>
      <c r="D364" s="462"/>
      <c r="E364" s="463"/>
      <c r="F364" s="414"/>
      <c r="G364" s="416"/>
      <c r="H364" s="416"/>
      <c r="I364" s="416"/>
      <c r="J364" s="415"/>
    </row>
    <row r="365" spans="1:11">
      <c r="A365" s="461"/>
      <c r="B365" s="462"/>
      <c r="C365" s="462"/>
      <c r="D365" s="462"/>
      <c r="E365" s="463"/>
      <c r="F365" s="414"/>
      <c r="G365" s="416"/>
      <c r="H365" s="416"/>
      <c r="I365" s="416"/>
      <c r="J365" s="415"/>
    </row>
    <row r="366" spans="1:11">
      <c r="A366" s="461"/>
      <c r="B366" s="462"/>
      <c r="C366" s="462"/>
      <c r="D366" s="462"/>
      <c r="E366" s="463"/>
      <c r="F366" s="414"/>
      <c r="G366" s="416"/>
      <c r="H366" s="416"/>
      <c r="I366" s="416"/>
      <c r="J366" s="415"/>
    </row>
    <row r="367" spans="1:11">
      <c r="A367" s="461"/>
      <c r="B367" s="462"/>
      <c r="C367" s="462"/>
      <c r="D367" s="462"/>
      <c r="E367" s="463"/>
      <c r="F367" s="414"/>
      <c r="G367" s="416"/>
      <c r="H367" s="416"/>
      <c r="I367" s="416"/>
      <c r="J367" s="415"/>
    </row>
    <row r="368" spans="1:11" ht="16" thickBot="1">
      <c r="A368" s="464"/>
      <c r="B368" s="465"/>
      <c r="C368" s="465"/>
      <c r="D368" s="465"/>
      <c r="E368" s="466"/>
      <c r="F368" s="417"/>
      <c r="G368" s="418"/>
      <c r="H368" s="418"/>
      <c r="I368" s="418"/>
      <c r="J368" s="419"/>
      <c r="K368" s="25"/>
    </row>
    <row r="369" spans="1:14" customFormat="1" ht="16.5" thickTop="1" thickBot="1">
      <c r="A369" s="138" t="s">
        <v>14</v>
      </c>
      <c r="B369" s="565"/>
      <c r="C369" s="565"/>
      <c r="D369" s="565"/>
      <c r="E369" s="565"/>
      <c r="F369" s="566"/>
      <c r="G369" s="520" t="s">
        <v>15</v>
      </c>
      <c r="H369" s="521"/>
      <c r="I369" s="437" t="s">
        <v>16</v>
      </c>
      <c r="J369" s="438"/>
      <c r="K369" s="25"/>
      <c r="L369" s="1"/>
      <c r="M369" s="1"/>
      <c r="N369" s="1"/>
    </row>
    <row r="370" spans="1:14" ht="16" thickTop="1">
      <c r="A370" s="450" t="s">
        <v>157</v>
      </c>
      <c r="B370" s="451"/>
      <c r="C370" s="451"/>
      <c r="D370" s="451"/>
      <c r="E370" s="451"/>
      <c r="F370" s="452"/>
      <c r="G370" s="520">
        <f ca="1">COUNTIF(F358:J368, "Y")</f>
        <v>0</v>
      </c>
      <c r="H370" s="521"/>
      <c r="I370" s="520">
        <f ca="1">COUNTIF(F358:J368, "N")</f>
        <v>0</v>
      </c>
      <c r="J370" s="521"/>
    </row>
    <row r="371" spans="1:14" ht="16" thickBot="1">
      <c r="A371" s="453"/>
      <c r="B371" s="454"/>
      <c r="C371" s="454"/>
      <c r="D371" s="454"/>
      <c r="E371" s="454"/>
      <c r="F371" s="455"/>
      <c r="G371" s="456"/>
      <c r="H371" s="457"/>
      <c r="I371" s="456"/>
      <c r="J371" s="457"/>
    </row>
    <row r="372" spans="1:14" ht="16" thickTop="1">
      <c r="A372" s="447" t="s">
        <v>159</v>
      </c>
      <c r="B372" s="448"/>
      <c r="C372" s="448"/>
      <c r="D372" s="448"/>
      <c r="E372" s="448"/>
      <c r="F372" s="448"/>
      <c r="G372" s="448"/>
      <c r="H372" s="448"/>
      <c r="I372" s="448"/>
      <c r="J372" s="449"/>
    </row>
    <row r="373" spans="1:14" s="14" customFormat="1" ht="13.5" thickBot="1">
      <c r="A373" s="525" t="s">
        <v>1098</v>
      </c>
      <c r="B373" s="526"/>
      <c r="C373" s="526"/>
      <c r="D373" s="526"/>
      <c r="E373" s="526"/>
      <c r="F373" s="526"/>
      <c r="G373" s="526"/>
      <c r="H373" s="526"/>
      <c r="I373" s="526"/>
      <c r="J373" s="527"/>
    </row>
    <row r="374" spans="1:14" s="14" customFormat="1" ht="14" thickTop="1" thickBot="1">
      <c r="A374" s="426" t="s">
        <v>160</v>
      </c>
      <c r="B374" s="427"/>
      <c r="C374" s="427"/>
      <c r="D374" s="427"/>
      <c r="E374" s="428"/>
      <c r="F374" s="3">
        <v>1</v>
      </c>
      <c r="G374" s="3">
        <v>2</v>
      </c>
      <c r="H374" s="3">
        <v>3</v>
      </c>
      <c r="I374" s="3">
        <v>4</v>
      </c>
      <c r="J374" s="3">
        <v>5</v>
      </c>
    </row>
    <row r="375" spans="1:14" s="14" customFormat="1" ht="14" thickTop="1" thickBot="1">
      <c r="A375" s="429"/>
      <c r="B375" s="430"/>
      <c r="C375" s="430"/>
      <c r="D375" s="430"/>
      <c r="E375" s="431"/>
      <c r="F375" s="4" t="str">
        <f ca="1">IF('IWP01'!ContractNumber = "", "", IF('IWP01'!Std10dot1 = "", "E", 'IWP01'!Std10dot1))</f>
        <v/>
      </c>
      <c r="G375" s="4" t="str">
        <f ca="1">IF('IWP02'!ContractNumber = "", "", IF('IWP02'!Std10dot1 = "", "E", 'IWP02'!Std10dot1))</f>
        <v/>
      </c>
      <c r="H375" s="4" t="str">
        <f ca="1">IF('IWP03'!ContractNumber = "", "", IF('IWP03'!Std10dot1 = "", "E", 'IWP03'!Std10dot1))</f>
        <v/>
      </c>
      <c r="I375" s="4" t="str">
        <f ca="1">IF('IWP04'!ContractNumber = "", "", IF('IWP04'!Std10dot1 = "", "E", 'IWP04'!Std10dot1))</f>
        <v/>
      </c>
      <c r="J375" s="4" t="str">
        <f ca="1">IF('IWP05'!ContractNumber = "", "", IF('IWP05'!Std10dot1 = "", "E", 'IWP05'!Std10dot1))</f>
        <v/>
      </c>
    </row>
    <row r="376" spans="1:14" s="14" customFormat="1" ht="14" thickTop="1" thickBot="1">
      <c r="A376" s="429"/>
      <c r="B376" s="430"/>
      <c r="C376" s="430"/>
      <c r="D376" s="430"/>
      <c r="E376" s="431"/>
      <c r="F376" s="3">
        <v>6</v>
      </c>
      <c r="G376" s="3">
        <v>7</v>
      </c>
      <c r="H376" s="3">
        <v>8</v>
      </c>
      <c r="I376" s="412"/>
      <c r="J376" s="413"/>
    </row>
    <row r="377" spans="1:14" customFormat="1" thickTop="1" thickBot="1">
      <c r="A377" s="429"/>
      <c r="B377" s="430"/>
      <c r="C377" s="430"/>
      <c r="D377" s="430"/>
      <c r="E377" s="431"/>
      <c r="F377" s="4" t="str">
        <f ca="1">IF('IWP06'!ContractNumber = "", "", IF('IWP06'!Std10dot1 = "", "E", 'IWP06'!Std10dot1))</f>
        <v/>
      </c>
      <c r="G377" s="4" t="str">
        <f ca="1">IF('IWP07'!ContractNumber = "", "", IF('IWP07'!Std10dot1 = "", "E", 'IWP07'!Std10dot1))</f>
        <v/>
      </c>
      <c r="H377" s="4" t="str">
        <f ca="1">IF('IWP08'!ContractNumber = "", "", IF('IWP08'!Std10dot1 = "", "E", 'IWP08'!Std10dot1))</f>
        <v/>
      </c>
      <c r="I377" s="414"/>
      <c r="J377" s="415"/>
    </row>
    <row r="378" spans="1:14" customFormat="1" ht="15" thickTop="1">
      <c r="A378" s="439" t="s">
        <v>1099</v>
      </c>
      <c r="B378" s="440"/>
      <c r="C378" s="440"/>
      <c r="D378" s="440"/>
      <c r="E378" s="441"/>
      <c r="F378" s="414"/>
      <c r="G378" s="416"/>
      <c r="H378" s="416"/>
      <c r="I378" s="416"/>
      <c r="J378" s="415"/>
    </row>
    <row r="379" spans="1:14" customFormat="1" ht="14.5">
      <c r="A379" s="439"/>
      <c r="B379" s="440"/>
      <c r="C379" s="440"/>
      <c r="D379" s="440"/>
      <c r="E379" s="441"/>
      <c r="F379" s="414"/>
      <c r="G379" s="416"/>
      <c r="H379" s="416"/>
      <c r="I379" s="416"/>
      <c r="J379" s="415"/>
    </row>
    <row r="380" spans="1:14" customFormat="1" ht="14.5">
      <c r="A380" s="439"/>
      <c r="B380" s="440"/>
      <c r="C380" s="440"/>
      <c r="D380" s="440"/>
      <c r="E380" s="441"/>
      <c r="F380" s="414"/>
      <c r="G380" s="416"/>
      <c r="H380" s="416"/>
      <c r="I380" s="416"/>
      <c r="J380" s="415"/>
    </row>
    <row r="381" spans="1:14" customFormat="1" ht="14.5">
      <c r="A381" s="528" t="s">
        <v>1100</v>
      </c>
      <c r="B381" s="462"/>
      <c r="C381" s="462"/>
      <c r="D381" s="462"/>
      <c r="E381" s="463"/>
      <c r="F381" s="414"/>
      <c r="G381" s="416"/>
      <c r="H381" s="416"/>
      <c r="I381" s="416"/>
      <c r="J381" s="415"/>
    </row>
    <row r="382" spans="1:14" s="15" customFormat="1" ht="10.5">
      <c r="A382" s="461"/>
      <c r="B382" s="462"/>
      <c r="C382" s="462"/>
      <c r="D382" s="462"/>
      <c r="E382" s="463"/>
      <c r="F382" s="414"/>
      <c r="G382" s="416"/>
      <c r="H382" s="416"/>
      <c r="I382" s="416"/>
      <c r="J382" s="415"/>
    </row>
    <row r="383" spans="1:14" customFormat="1" ht="14.5">
      <c r="A383" s="461"/>
      <c r="B383" s="462"/>
      <c r="C383" s="462"/>
      <c r="D383" s="462"/>
      <c r="E383" s="463"/>
      <c r="F383" s="414"/>
      <c r="G383" s="416"/>
      <c r="H383" s="416"/>
      <c r="I383" s="416"/>
      <c r="J383" s="415"/>
    </row>
    <row r="384" spans="1:14" customFormat="1" ht="14.5">
      <c r="A384" s="461"/>
      <c r="B384" s="462"/>
      <c r="C384" s="462"/>
      <c r="D384" s="462"/>
      <c r="E384" s="463"/>
      <c r="F384" s="414"/>
      <c r="G384" s="416"/>
      <c r="H384" s="416"/>
      <c r="I384" s="416"/>
      <c r="J384" s="415"/>
    </row>
    <row r="385" spans="1:11" customFormat="1" ht="15" thickBot="1">
      <c r="A385" s="464"/>
      <c r="B385" s="465"/>
      <c r="C385" s="465"/>
      <c r="D385" s="465"/>
      <c r="E385" s="466"/>
      <c r="F385" s="417"/>
      <c r="G385" s="418"/>
      <c r="H385" s="418"/>
      <c r="I385" s="418"/>
      <c r="J385" s="419"/>
    </row>
    <row r="386" spans="1:11" customFormat="1" thickTop="1" thickBot="1">
      <c r="A386" s="432" t="s">
        <v>14</v>
      </c>
      <c r="B386" s="422" t="s">
        <v>1123</v>
      </c>
      <c r="C386" s="422"/>
      <c r="D386" s="422"/>
      <c r="E386" s="422"/>
      <c r="F386" s="423"/>
      <c r="G386" s="437" t="s">
        <v>17</v>
      </c>
      <c r="H386" s="438"/>
      <c r="I386" s="437" t="s">
        <v>18</v>
      </c>
      <c r="J386" s="438"/>
    </row>
    <row r="387" spans="1:11" customFormat="1" thickTop="1" thickBot="1">
      <c r="A387" s="433"/>
      <c r="B387" s="424"/>
      <c r="C387" s="424"/>
      <c r="D387" s="424"/>
      <c r="E387" s="424"/>
      <c r="F387" s="425"/>
      <c r="G387" s="437">
        <f ca="1">COUNTIF(F375:J385, "Y")</f>
        <v>0</v>
      </c>
      <c r="H387" s="438"/>
      <c r="I387" s="437">
        <f ca="1">COUNTIF(F375:J385, "N")</f>
        <v>0</v>
      </c>
      <c r="J387" s="438"/>
    </row>
    <row r="388" spans="1:11" customFormat="1" thickTop="1" thickBot="1">
      <c r="A388" s="426" t="s">
        <v>161</v>
      </c>
      <c r="B388" s="427"/>
      <c r="C388" s="427"/>
      <c r="D388" s="427"/>
      <c r="E388" s="428"/>
      <c r="F388" s="3">
        <v>1</v>
      </c>
      <c r="G388" s="3">
        <v>2</v>
      </c>
      <c r="H388" s="3">
        <v>3</v>
      </c>
      <c r="I388" s="3">
        <v>4</v>
      </c>
      <c r="J388" s="3">
        <v>5</v>
      </c>
    </row>
    <row r="389" spans="1:11" customFormat="1" thickTop="1" thickBot="1">
      <c r="A389" s="429"/>
      <c r="B389" s="430"/>
      <c r="C389" s="430"/>
      <c r="D389" s="430"/>
      <c r="E389" s="431"/>
      <c r="F389" s="4" t="str">
        <f ca="1">IF('IWP01'!ContractNumber = "", "", IF('IWP01'!Std10dot2 = "", "E", 'IWP01'!Std10dot2))</f>
        <v/>
      </c>
      <c r="G389" s="4" t="str">
        <f ca="1">IF('IWP02'!ContractNumber = "", "", IF('IWP02'!Std10dot2 = "", "E", 'IWP02'!Std10dot2))</f>
        <v/>
      </c>
      <c r="H389" s="4" t="str">
        <f ca="1">IF('IWP03'!ContractNumber = "", "", IF('IWP03'!Std10dot2 = "", "E", 'IWP03'!Std10dot2))</f>
        <v/>
      </c>
      <c r="I389" s="4" t="str">
        <f ca="1">IF('IWP04'!ContractNumber = "", "", IF('IWP04'!Std10dot2 = "", "E", 'IWP04'!Std10dot2))</f>
        <v/>
      </c>
      <c r="J389" s="4" t="str">
        <f ca="1">IF('IWP05'!ContractNumber = "", "", IF('IWP05'!Std10dot2 = "", "E", 'IWP05'!Std10dot2))</f>
        <v/>
      </c>
    </row>
    <row r="390" spans="1:11" customFormat="1" thickTop="1" thickBot="1">
      <c r="A390" s="439" t="s">
        <v>1099</v>
      </c>
      <c r="B390" s="440"/>
      <c r="C390" s="440"/>
      <c r="D390" s="440"/>
      <c r="E390" s="441"/>
      <c r="F390" s="3">
        <v>6</v>
      </c>
      <c r="G390" s="3">
        <v>7</v>
      </c>
      <c r="H390" s="3">
        <v>8</v>
      </c>
      <c r="I390" s="412"/>
      <c r="J390" s="413"/>
    </row>
    <row r="391" spans="1:11" customFormat="1" thickTop="1" thickBot="1">
      <c r="A391" s="439"/>
      <c r="B391" s="440"/>
      <c r="C391" s="440"/>
      <c r="D391" s="440"/>
      <c r="E391" s="441"/>
      <c r="F391" s="4" t="str">
        <f ca="1">IF('IWP06'!ContractNumber = "", "", IF('IWP06'!Std10dot2 = "", "E", 'IWP06'!Std10dot2))</f>
        <v/>
      </c>
      <c r="G391" s="4" t="str">
        <f ca="1">IF('IWP07'!ContractNumber = "", "", IF('IWP07'!Std10dot2 = "", "E", 'IWP07'!Std10dot2))</f>
        <v/>
      </c>
      <c r="H391" s="4" t="str">
        <f ca="1">IF('IWP08'!ContractNumber = "", "", IF('IWP08'!Std10dot2 = "", "E", 'IWP08'!Std10dot2))</f>
        <v/>
      </c>
      <c r="I391" s="414"/>
      <c r="J391" s="415"/>
    </row>
    <row r="392" spans="1:11" customFormat="1" ht="15" thickTop="1">
      <c r="A392" s="439"/>
      <c r="B392" s="440"/>
      <c r="C392" s="440"/>
      <c r="D392" s="440"/>
      <c r="E392" s="441"/>
      <c r="F392" s="414"/>
      <c r="G392" s="416"/>
      <c r="H392" s="416"/>
      <c r="I392" s="416"/>
      <c r="J392" s="415"/>
    </row>
    <row r="393" spans="1:11" customFormat="1" ht="14.5">
      <c r="A393" s="439"/>
      <c r="B393" s="440"/>
      <c r="C393" s="440"/>
      <c r="D393" s="440"/>
      <c r="E393" s="441"/>
      <c r="F393" s="414"/>
      <c r="G393" s="416"/>
      <c r="H393" s="416"/>
      <c r="I393" s="416"/>
      <c r="J393" s="415"/>
    </row>
    <row r="394" spans="1:11" customFormat="1" ht="14.5">
      <c r="A394" s="439"/>
      <c r="B394" s="440"/>
      <c r="C394" s="440"/>
      <c r="D394" s="440"/>
      <c r="E394" s="441"/>
      <c r="F394" s="414"/>
      <c r="G394" s="416"/>
      <c r="H394" s="416"/>
      <c r="I394" s="416"/>
      <c r="J394" s="415"/>
    </row>
    <row r="395" spans="1:11" customFormat="1" ht="15" customHeight="1">
      <c r="A395" s="528" t="s">
        <v>1100</v>
      </c>
      <c r="B395" s="462"/>
      <c r="C395" s="462"/>
      <c r="D395" s="462"/>
      <c r="E395" s="463"/>
      <c r="F395" s="414"/>
      <c r="G395" s="416"/>
      <c r="H395" s="416"/>
      <c r="I395" s="416"/>
      <c r="J395" s="415"/>
    </row>
    <row r="396" spans="1:11" customFormat="1" ht="14.5">
      <c r="A396" s="461"/>
      <c r="B396" s="462"/>
      <c r="C396" s="462"/>
      <c r="D396" s="462"/>
      <c r="E396" s="463"/>
      <c r="F396" s="414"/>
      <c r="G396" s="416"/>
      <c r="H396" s="416"/>
      <c r="I396" s="416"/>
      <c r="J396" s="415"/>
    </row>
    <row r="397" spans="1:11" customFormat="1" ht="14.5">
      <c r="A397" s="461"/>
      <c r="B397" s="462"/>
      <c r="C397" s="462"/>
      <c r="D397" s="462"/>
      <c r="E397" s="463"/>
      <c r="F397" s="414"/>
      <c r="G397" s="416"/>
      <c r="H397" s="416"/>
      <c r="I397" s="416"/>
      <c r="J397" s="415"/>
    </row>
    <row r="398" spans="1:11" customFormat="1" ht="14.5">
      <c r="A398" s="461"/>
      <c r="B398" s="462"/>
      <c r="C398" s="462"/>
      <c r="D398" s="462"/>
      <c r="E398" s="463"/>
      <c r="F398" s="414"/>
      <c r="G398" s="416"/>
      <c r="H398" s="416"/>
      <c r="I398" s="416"/>
      <c r="J398" s="415"/>
      <c r="K398" s="12"/>
    </row>
    <row r="399" spans="1:11" customFormat="1" ht="15" thickBot="1">
      <c r="A399" s="464"/>
      <c r="B399" s="465"/>
      <c r="C399" s="465"/>
      <c r="D399" s="465"/>
      <c r="E399" s="466"/>
      <c r="F399" s="417"/>
      <c r="G399" s="418"/>
      <c r="H399" s="418"/>
      <c r="I399" s="418"/>
      <c r="J399" s="419"/>
    </row>
    <row r="400" spans="1:11" ht="16.5" thickTop="1" thickBot="1">
      <c r="A400" s="432" t="s">
        <v>14</v>
      </c>
      <c r="B400" s="422"/>
      <c r="C400" s="422"/>
      <c r="D400" s="422"/>
      <c r="E400" s="422"/>
      <c r="F400" s="423"/>
      <c r="G400" s="437" t="s">
        <v>17</v>
      </c>
      <c r="H400" s="438"/>
      <c r="I400" s="437" t="s">
        <v>18</v>
      </c>
      <c r="J400" s="438"/>
    </row>
    <row r="401" spans="1:10" ht="16.5" thickTop="1" thickBot="1">
      <c r="A401" s="433"/>
      <c r="B401" s="424"/>
      <c r="C401" s="424"/>
      <c r="D401" s="424"/>
      <c r="E401" s="424"/>
      <c r="F401" s="425"/>
      <c r="G401" s="437">
        <f ca="1">COUNTIF(F389:J399, "Y")</f>
        <v>0</v>
      </c>
      <c r="H401" s="438"/>
      <c r="I401" s="437">
        <f ca="1">COUNTIF(F389:J399, "N")</f>
        <v>0</v>
      </c>
      <c r="J401" s="438"/>
    </row>
    <row r="402" spans="1:10" ht="16.5" thickTop="1" thickBot="1">
      <c r="A402" s="426" t="s">
        <v>162</v>
      </c>
      <c r="B402" s="427"/>
      <c r="C402" s="427"/>
      <c r="D402" s="427"/>
      <c r="E402" s="428"/>
      <c r="F402" s="3">
        <v>1</v>
      </c>
      <c r="G402" s="3">
        <v>2</v>
      </c>
      <c r="H402" s="3">
        <v>3</v>
      </c>
      <c r="I402" s="3">
        <v>4</v>
      </c>
      <c r="J402" s="3">
        <v>5</v>
      </c>
    </row>
    <row r="403" spans="1:10" ht="16.5" thickTop="1" thickBot="1">
      <c r="A403" s="429"/>
      <c r="B403" s="430"/>
      <c r="C403" s="430"/>
      <c r="D403" s="430"/>
      <c r="E403" s="431"/>
      <c r="F403" s="4" t="str">
        <f ca="1">IF('IWP01'!ContractNumber = "", "", IF('IWP01'!Std10dot3 = "", "E", 'IWP01'!Std10dot3))</f>
        <v/>
      </c>
      <c r="G403" s="4" t="str">
        <f ca="1">IF('IWP02'!ContractNumber = "", "", IF('IWP02'!Std10dot3 = "", "E", 'IWP02'!Std10dot3))</f>
        <v/>
      </c>
      <c r="H403" s="4" t="str">
        <f ca="1">IF('IWP03'!ContractNumber = "", "", IF('IWP03'!Std10dot3 = "", "E", 'IWP03'!Std10dot3))</f>
        <v/>
      </c>
      <c r="I403" s="4" t="str">
        <f ca="1">IF('IWP04'!ContractNumber = "", "", IF('IWP04'!Std10dot3 = "", "E", 'IWP04'!Std10dot3))</f>
        <v/>
      </c>
      <c r="J403" s="4" t="str">
        <f ca="1">IF('IWP05'!ContractNumber = "", "", IF('IWP05'!Std10dot3 = "", "E", 'IWP05'!Std10dot3))</f>
        <v/>
      </c>
    </row>
    <row r="404" spans="1:10" ht="16.5" thickTop="1" thickBot="1">
      <c r="A404" s="439" t="s">
        <v>1099</v>
      </c>
      <c r="B404" s="440"/>
      <c r="C404" s="440"/>
      <c r="D404" s="440"/>
      <c r="E404" s="441"/>
      <c r="F404" s="3">
        <v>6</v>
      </c>
      <c r="G404" s="3">
        <v>7</v>
      </c>
      <c r="H404" s="3">
        <v>8</v>
      </c>
      <c r="I404" s="412"/>
      <c r="J404" s="413"/>
    </row>
    <row r="405" spans="1:10" ht="16.5" thickTop="1" thickBot="1">
      <c r="A405" s="439"/>
      <c r="B405" s="440"/>
      <c r="C405" s="440"/>
      <c r="D405" s="440"/>
      <c r="E405" s="441"/>
      <c r="F405" s="4" t="str">
        <f ca="1">IF('IWP06'!ContractNumber = "", "", IF('IWP06'!Std10dot3 = "", "E", 'IWP06'!Std10dot3))</f>
        <v/>
      </c>
      <c r="G405" s="4" t="str">
        <f ca="1">IF('IWP07'!ContractNumber = "", "", IF('IWP07'!Std10dot3 = "", "E", 'IWP07'!Std10dot3))</f>
        <v/>
      </c>
      <c r="H405" s="4" t="str">
        <f ca="1">IF('IWP08'!ContractNumber = "", "", IF('IWP08'!Std10dot3 = "", "E", 'IWP08'!Std10dot3))</f>
        <v/>
      </c>
      <c r="I405" s="414"/>
      <c r="J405" s="415"/>
    </row>
    <row r="406" spans="1:10" ht="16" thickTop="1">
      <c r="A406" s="439"/>
      <c r="B406" s="440"/>
      <c r="C406" s="440"/>
      <c r="D406" s="440"/>
      <c r="E406" s="441"/>
      <c r="F406" s="414"/>
      <c r="G406" s="416"/>
      <c r="H406" s="416"/>
      <c r="I406" s="416"/>
      <c r="J406" s="415"/>
    </row>
    <row r="407" spans="1:10">
      <c r="A407" s="439"/>
      <c r="B407" s="440"/>
      <c r="C407" s="440"/>
      <c r="D407" s="440"/>
      <c r="E407" s="441"/>
      <c r="F407" s="414"/>
      <c r="G407" s="416"/>
      <c r="H407" s="416"/>
      <c r="I407" s="416"/>
      <c r="J407" s="415"/>
    </row>
    <row r="408" spans="1:10">
      <c r="A408" s="439"/>
      <c r="B408" s="440"/>
      <c r="C408" s="440"/>
      <c r="D408" s="440"/>
      <c r="E408" s="441"/>
      <c r="F408" s="414"/>
      <c r="G408" s="416"/>
      <c r="H408" s="416"/>
      <c r="I408" s="416"/>
      <c r="J408" s="415"/>
    </row>
    <row r="409" spans="1:10">
      <c r="A409" s="461" t="s">
        <v>926</v>
      </c>
      <c r="B409" s="462"/>
      <c r="C409" s="462"/>
      <c r="D409" s="462"/>
      <c r="E409" s="463"/>
      <c r="F409" s="414"/>
      <c r="G409" s="416"/>
      <c r="H409" s="416"/>
      <c r="I409" s="416"/>
      <c r="J409" s="415"/>
    </row>
    <row r="410" spans="1:10">
      <c r="A410" s="461"/>
      <c r="B410" s="462"/>
      <c r="C410" s="462"/>
      <c r="D410" s="462"/>
      <c r="E410" s="463"/>
      <c r="F410" s="414"/>
      <c r="G410" s="416"/>
      <c r="H410" s="416"/>
      <c r="I410" s="416"/>
      <c r="J410" s="415"/>
    </row>
    <row r="411" spans="1:10">
      <c r="A411" s="461"/>
      <c r="B411" s="462"/>
      <c r="C411" s="462"/>
      <c r="D411" s="462"/>
      <c r="E411" s="463"/>
      <c r="F411" s="414"/>
      <c r="G411" s="416"/>
      <c r="H411" s="416"/>
      <c r="I411" s="416"/>
      <c r="J411" s="415"/>
    </row>
    <row r="412" spans="1:10">
      <c r="A412" s="461"/>
      <c r="B412" s="462"/>
      <c r="C412" s="462"/>
      <c r="D412" s="462"/>
      <c r="E412" s="463"/>
      <c r="F412" s="414"/>
      <c r="G412" s="416"/>
      <c r="H412" s="416"/>
      <c r="I412" s="416"/>
      <c r="J412" s="415"/>
    </row>
    <row r="413" spans="1:10" ht="16" thickBot="1">
      <c r="A413" s="464"/>
      <c r="B413" s="465"/>
      <c r="C413" s="465"/>
      <c r="D413" s="465"/>
      <c r="E413" s="466"/>
      <c r="F413" s="417"/>
      <c r="G413" s="418"/>
      <c r="H413" s="418"/>
      <c r="I413" s="418"/>
      <c r="J413" s="419"/>
    </row>
    <row r="414" spans="1:10" ht="16.5" thickTop="1" thickBot="1">
      <c r="A414" s="432" t="s">
        <v>14</v>
      </c>
      <c r="B414" s="422"/>
      <c r="C414" s="422"/>
      <c r="D414" s="422"/>
      <c r="E414" s="422"/>
      <c r="F414" s="423"/>
      <c r="G414" s="437" t="s">
        <v>17</v>
      </c>
      <c r="H414" s="438"/>
      <c r="I414" s="437" t="s">
        <v>18</v>
      </c>
      <c r="J414" s="438"/>
    </row>
    <row r="415" spans="1:10" ht="16.5" thickTop="1" thickBot="1">
      <c r="A415" s="433"/>
      <c r="B415" s="424"/>
      <c r="C415" s="424"/>
      <c r="D415" s="424"/>
      <c r="E415" s="424"/>
      <c r="F415" s="425"/>
      <c r="G415" s="437">
        <f ca="1">COUNTIF(F403:J413, "Y")</f>
        <v>0</v>
      </c>
      <c r="H415" s="438"/>
      <c r="I415" s="437">
        <f ca="1">COUNTIF(F403:J413, "N")</f>
        <v>0</v>
      </c>
      <c r="J415" s="438"/>
    </row>
    <row r="416" spans="1:10" ht="16.5" thickTop="1" thickBot="1">
      <c r="A416" s="426" t="s">
        <v>428</v>
      </c>
      <c r="B416" s="427"/>
      <c r="C416" s="427"/>
      <c r="D416" s="427"/>
      <c r="E416" s="428"/>
      <c r="F416" s="3">
        <v>1</v>
      </c>
      <c r="G416" s="3">
        <v>2</v>
      </c>
      <c r="H416" s="3">
        <v>3</v>
      </c>
      <c r="I416" s="3">
        <v>4</v>
      </c>
      <c r="J416" s="3">
        <v>5</v>
      </c>
    </row>
    <row r="417" spans="1:10" ht="16.5" thickTop="1" thickBot="1">
      <c r="A417" s="429"/>
      <c r="B417" s="430"/>
      <c r="C417" s="430"/>
      <c r="D417" s="430"/>
      <c r="E417" s="431"/>
      <c r="F417" s="4" t="str">
        <f ca="1">IF('IWP01'!ContractNumber = "", "", IF('IWP01'!Std10dot4 = "", "E", 'IWP01'!Std10dot4))</f>
        <v/>
      </c>
      <c r="G417" s="4" t="str">
        <f ca="1">IF('IWP02'!ContractNumber = "", "", IF('IWP02'!Std10dot4 = "", "E", 'IWP02'!Std10dot4))</f>
        <v/>
      </c>
      <c r="H417" s="4" t="str">
        <f ca="1">IF('IWP03'!ContractNumber = "", "", IF('IWP03'!Std10dot4 = "", "E", 'IWP03'!Std10dot4))</f>
        <v/>
      </c>
      <c r="I417" s="4" t="str">
        <f ca="1">IF('IWP04'!ContractNumber = "", "", IF('IWP04'!Std10dot4 = "", "E", 'IWP04'!Std10dot4))</f>
        <v/>
      </c>
      <c r="J417" s="4" t="str">
        <f ca="1">IF('IWP05'!ContractNumber = "", "", IF('IWP05'!Std10dot4 = "", "E", 'IWP05'!Std10dot4))</f>
        <v/>
      </c>
    </row>
    <row r="418" spans="1:10" ht="16.5" thickTop="1" thickBot="1">
      <c r="A418" s="439" t="s">
        <v>1099</v>
      </c>
      <c r="B418" s="440"/>
      <c r="C418" s="440"/>
      <c r="D418" s="440"/>
      <c r="E418" s="441"/>
      <c r="F418" s="3">
        <v>6</v>
      </c>
      <c r="G418" s="3">
        <v>7</v>
      </c>
      <c r="H418" s="3">
        <v>8</v>
      </c>
      <c r="I418" s="412"/>
      <c r="J418" s="413"/>
    </row>
    <row r="419" spans="1:10" ht="16.5" thickTop="1" thickBot="1">
      <c r="A419" s="439"/>
      <c r="B419" s="440"/>
      <c r="C419" s="440"/>
      <c r="D419" s="440"/>
      <c r="E419" s="441"/>
      <c r="F419" s="4" t="str">
        <f ca="1">IF('IWP06'!ContractNumber = "", "", IF('IWP06'!Std10dot4 = "", "E", 'IWP06'!Std10dot4))</f>
        <v/>
      </c>
      <c r="G419" s="4" t="str">
        <f ca="1">IF('IWP07'!ContractNumber = "", "", IF('IWP07'!Std10dot4 = "", "E", 'IWP07'!Std10dot4))</f>
        <v/>
      </c>
      <c r="H419" s="4" t="str">
        <f ca="1">IF('IWP08'!ContractNumber = "", "", IF('IWP08'!Std10dot4 = "", "E", 'IWP08'!Std10dot4))</f>
        <v/>
      </c>
      <c r="I419" s="414"/>
      <c r="J419" s="415"/>
    </row>
    <row r="420" spans="1:10" ht="16" thickTop="1">
      <c r="A420" s="439"/>
      <c r="B420" s="440"/>
      <c r="C420" s="440"/>
      <c r="D420" s="440"/>
      <c r="E420" s="441"/>
      <c r="F420" s="414"/>
      <c r="G420" s="416"/>
      <c r="H420" s="416"/>
      <c r="I420" s="416"/>
      <c r="J420" s="415"/>
    </row>
    <row r="421" spans="1:10">
      <c r="A421" s="439"/>
      <c r="B421" s="440"/>
      <c r="C421" s="440"/>
      <c r="D421" s="440"/>
      <c r="E421" s="441"/>
      <c r="F421" s="414"/>
      <c r="G421" s="416"/>
      <c r="H421" s="416"/>
      <c r="I421" s="416"/>
      <c r="J421" s="415"/>
    </row>
    <row r="422" spans="1:10">
      <c r="A422" s="439"/>
      <c r="B422" s="440"/>
      <c r="C422" s="440"/>
      <c r="D422" s="440"/>
      <c r="E422" s="441"/>
      <c r="F422" s="414"/>
      <c r="G422" s="416"/>
      <c r="H422" s="416"/>
      <c r="I422" s="416"/>
      <c r="J422" s="415"/>
    </row>
    <row r="423" spans="1:10">
      <c r="A423" s="461" t="s">
        <v>926</v>
      </c>
      <c r="B423" s="462"/>
      <c r="C423" s="462"/>
      <c r="D423" s="462"/>
      <c r="E423" s="463"/>
      <c r="F423" s="414"/>
      <c r="G423" s="416"/>
      <c r="H423" s="416"/>
      <c r="I423" s="416"/>
      <c r="J423" s="415"/>
    </row>
    <row r="424" spans="1:10">
      <c r="A424" s="461"/>
      <c r="B424" s="462"/>
      <c r="C424" s="462"/>
      <c r="D424" s="462"/>
      <c r="E424" s="463"/>
      <c r="F424" s="414"/>
      <c r="G424" s="416"/>
      <c r="H424" s="416"/>
      <c r="I424" s="416"/>
      <c r="J424" s="415"/>
    </row>
    <row r="425" spans="1:10">
      <c r="A425" s="461"/>
      <c r="B425" s="462"/>
      <c r="C425" s="462"/>
      <c r="D425" s="462"/>
      <c r="E425" s="463"/>
      <c r="F425" s="414"/>
      <c r="G425" s="416"/>
      <c r="H425" s="416"/>
      <c r="I425" s="416"/>
      <c r="J425" s="415"/>
    </row>
    <row r="426" spans="1:10">
      <c r="A426" s="461"/>
      <c r="B426" s="462"/>
      <c r="C426" s="462"/>
      <c r="D426" s="462"/>
      <c r="E426" s="463"/>
      <c r="F426" s="414"/>
      <c r="G426" s="416"/>
      <c r="H426" s="416"/>
      <c r="I426" s="416"/>
      <c r="J426" s="415"/>
    </row>
    <row r="427" spans="1:10" ht="16" thickBot="1">
      <c r="A427" s="464"/>
      <c r="B427" s="465"/>
      <c r="C427" s="465"/>
      <c r="D427" s="465"/>
      <c r="E427" s="466"/>
      <c r="F427" s="417"/>
      <c r="G427" s="418"/>
      <c r="H427" s="418"/>
      <c r="I427" s="418"/>
      <c r="J427" s="419"/>
    </row>
    <row r="428" spans="1:10" ht="16.5" thickTop="1" thickBot="1">
      <c r="A428" s="432" t="s">
        <v>14</v>
      </c>
      <c r="B428" s="422"/>
      <c r="C428" s="422"/>
      <c r="D428" s="422"/>
      <c r="E428" s="422"/>
      <c r="F428" s="423"/>
      <c r="G428" s="437" t="s">
        <v>17</v>
      </c>
      <c r="H428" s="438"/>
      <c r="I428" s="437" t="s">
        <v>18</v>
      </c>
      <c r="J428" s="438"/>
    </row>
    <row r="429" spans="1:10" ht="16.5" thickTop="1" thickBot="1">
      <c r="A429" s="433"/>
      <c r="B429" s="424"/>
      <c r="C429" s="424"/>
      <c r="D429" s="424"/>
      <c r="E429" s="424"/>
      <c r="F429" s="425"/>
      <c r="G429" s="437">
        <f ca="1">COUNTIF(F417:J427, "Y")</f>
        <v>0</v>
      </c>
      <c r="H429" s="438"/>
      <c r="I429" s="437">
        <f ca="1">COUNTIF(F417:J427, "N")</f>
        <v>0</v>
      </c>
      <c r="J429" s="438"/>
    </row>
    <row r="430" spans="1:10" ht="16.5" thickTop="1" thickBot="1">
      <c r="A430" s="426" t="s">
        <v>163</v>
      </c>
      <c r="B430" s="427"/>
      <c r="C430" s="427"/>
      <c r="D430" s="427"/>
      <c r="E430" s="428"/>
      <c r="F430" s="3">
        <v>1</v>
      </c>
      <c r="G430" s="3">
        <v>2</v>
      </c>
      <c r="H430" s="3">
        <v>3</v>
      </c>
      <c r="I430" s="3">
        <v>4</v>
      </c>
      <c r="J430" s="3">
        <v>5</v>
      </c>
    </row>
    <row r="431" spans="1:10" ht="16.5" thickTop="1" thickBot="1">
      <c r="A431" s="429"/>
      <c r="B431" s="430"/>
      <c r="C431" s="430"/>
      <c r="D431" s="430"/>
      <c r="E431" s="431"/>
      <c r="F431" s="4" t="str">
        <f ca="1">IF('IWP01'!ContractNumber = "", "", IF('IWP01'!Std10dot5 = "", "E", 'IWP01'!Std10dot5))</f>
        <v/>
      </c>
      <c r="G431" s="4" t="str">
        <f ca="1">IF('IWP02'!ContractNumber = "", "", IF('IWP02'!Std10dot5 = "", "E", 'IWP02'!Std10dot5))</f>
        <v/>
      </c>
      <c r="H431" s="4" t="str">
        <f ca="1">IF('IWP03'!ContractNumber = "", "", IF('IWP03'!Std10dot5 = "", "E", 'IWP03'!Std10dot5))</f>
        <v/>
      </c>
      <c r="I431" s="4" t="str">
        <f ca="1">IF('IWP04'!ContractNumber = "", "", IF('IWP04'!Std10dot5 = "", "E", 'IWP04'!Std10dot5))</f>
        <v/>
      </c>
      <c r="J431" s="4" t="str">
        <f ca="1">IF('IWP05'!ContractNumber = "", "", IF('IWP05'!Std10dot5 = "", "E", 'IWP05'!Std10dot5))</f>
        <v/>
      </c>
    </row>
    <row r="432" spans="1:10" ht="16.5" thickTop="1" thickBot="1">
      <c r="A432" s="439" t="s">
        <v>1101</v>
      </c>
      <c r="B432" s="440"/>
      <c r="C432" s="440"/>
      <c r="D432" s="440"/>
      <c r="E432" s="441"/>
      <c r="F432" s="3">
        <v>6</v>
      </c>
      <c r="G432" s="3">
        <v>7</v>
      </c>
      <c r="H432" s="3">
        <v>8</v>
      </c>
      <c r="I432" s="412"/>
      <c r="J432" s="413"/>
    </row>
    <row r="433" spans="1:10" ht="16.5" thickTop="1" thickBot="1">
      <c r="A433" s="439"/>
      <c r="B433" s="440"/>
      <c r="C433" s="440"/>
      <c r="D433" s="440"/>
      <c r="E433" s="441"/>
      <c r="F433" s="4" t="str">
        <f ca="1">IF('IWP06'!ContractNumber = "", "", IF('IWP06'!Std10dot5 = "", "E", 'IWP06'!Std10dot5))</f>
        <v/>
      </c>
      <c r="G433" s="4" t="str">
        <f ca="1">IF('IWP07'!ContractNumber = "", "", IF('IWP07'!Std10dot5 = "", "E", 'IWP07'!Std10dot5))</f>
        <v/>
      </c>
      <c r="H433" s="4" t="str">
        <f ca="1">IF('IWP08'!ContractNumber = "", "", IF('IWP08'!Std10dot5 = "", "E", 'IWP08'!Std10dot5))</f>
        <v/>
      </c>
      <c r="I433" s="414"/>
      <c r="J433" s="415"/>
    </row>
    <row r="434" spans="1:10" ht="16" thickTop="1">
      <c r="A434" s="439"/>
      <c r="B434" s="440"/>
      <c r="C434" s="440"/>
      <c r="D434" s="440"/>
      <c r="E434" s="441"/>
      <c r="F434" s="414"/>
      <c r="G434" s="416"/>
      <c r="H434" s="416"/>
      <c r="I434" s="416"/>
      <c r="J434" s="415"/>
    </row>
    <row r="435" spans="1:10">
      <c r="A435" s="439"/>
      <c r="B435" s="440"/>
      <c r="C435" s="440"/>
      <c r="D435" s="440"/>
      <c r="E435" s="441"/>
      <c r="F435" s="414"/>
      <c r="G435" s="416"/>
      <c r="H435" s="416"/>
      <c r="I435" s="416"/>
      <c r="J435" s="415"/>
    </row>
    <row r="436" spans="1:10">
      <c r="A436" s="439"/>
      <c r="B436" s="440"/>
      <c r="C436" s="440"/>
      <c r="D436" s="440"/>
      <c r="E436" s="441"/>
      <c r="F436" s="414"/>
      <c r="G436" s="416"/>
      <c r="H436" s="416"/>
      <c r="I436" s="416"/>
      <c r="J436" s="415"/>
    </row>
    <row r="437" spans="1:10">
      <c r="A437" s="461" t="s">
        <v>925</v>
      </c>
      <c r="B437" s="462"/>
      <c r="C437" s="462"/>
      <c r="D437" s="462"/>
      <c r="E437" s="463"/>
      <c r="F437" s="414"/>
      <c r="G437" s="416"/>
      <c r="H437" s="416"/>
      <c r="I437" s="416"/>
      <c r="J437" s="415"/>
    </row>
    <row r="438" spans="1:10">
      <c r="A438" s="461"/>
      <c r="B438" s="462"/>
      <c r="C438" s="462"/>
      <c r="D438" s="462"/>
      <c r="E438" s="463"/>
      <c r="F438" s="414"/>
      <c r="G438" s="416"/>
      <c r="H438" s="416"/>
      <c r="I438" s="416"/>
      <c r="J438" s="415"/>
    </row>
    <row r="439" spans="1:10">
      <c r="A439" s="461"/>
      <c r="B439" s="462"/>
      <c r="C439" s="462"/>
      <c r="D439" s="462"/>
      <c r="E439" s="463"/>
      <c r="F439" s="414"/>
      <c r="G439" s="416"/>
      <c r="H439" s="416"/>
      <c r="I439" s="416"/>
      <c r="J439" s="415"/>
    </row>
    <row r="440" spans="1:10">
      <c r="A440" s="461"/>
      <c r="B440" s="462"/>
      <c r="C440" s="462"/>
      <c r="D440" s="462"/>
      <c r="E440" s="463"/>
      <c r="F440" s="414"/>
      <c r="G440" s="416"/>
      <c r="H440" s="416"/>
      <c r="I440" s="416"/>
      <c r="J440" s="415"/>
    </row>
    <row r="441" spans="1:10" ht="16" thickBot="1">
      <c r="A441" s="464"/>
      <c r="B441" s="465"/>
      <c r="C441" s="465"/>
      <c r="D441" s="465"/>
      <c r="E441" s="466"/>
      <c r="F441" s="417"/>
      <c r="G441" s="418"/>
      <c r="H441" s="418"/>
      <c r="I441" s="418"/>
      <c r="J441" s="419"/>
    </row>
    <row r="442" spans="1:10" ht="16.5" thickTop="1" thickBot="1">
      <c r="A442" s="432" t="s">
        <v>14</v>
      </c>
      <c r="B442" s="422"/>
      <c r="C442" s="422"/>
      <c r="D442" s="422"/>
      <c r="E442" s="422"/>
      <c r="F442" s="423"/>
      <c r="G442" s="437" t="s">
        <v>17</v>
      </c>
      <c r="H442" s="438"/>
      <c r="I442" s="437" t="s">
        <v>18</v>
      </c>
      <c r="J442" s="438"/>
    </row>
    <row r="443" spans="1:10" ht="16.5" thickTop="1" thickBot="1">
      <c r="A443" s="433"/>
      <c r="B443" s="424"/>
      <c r="C443" s="424"/>
      <c r="D443" s="424"/>
      <c r="E443" s="424"/>
      <c r="F443" s="425"/>
      <c r="G443" s="437">
        <f ca="1">COUNTIF(F431:J441, "Y")</f>
        <v>0</v>
      </c>
      <c r="H443" s="438"/>
      <c r="I443" s="437">
        <f ca="1">COUNTIF(F431:J441, "N")</f>
        <v>0</v>
      </c>
      <c r="J443" s="438"/>
    </row>
    <row r="444" spans="1:10" ht="16.5" thickTop="1" thickBot="1">
      <c r="A444" s="426" t="s">
        <v>943</v>
      </c>
      <c r="B444" s="427"/>
      <c r="C444" s="427"/>
      <c r="D444" s="427"/>
      <c r="E444" s="428"/>
      <c r="F444" s="3">
        <v>1</v>
      </c>
      <c r="G444" s="3">
        <v>2</v>
      </c>
      <c r="H444" s="3">
        <v>3</v>
      </c>
      <c r="I444" s="3">
        <v>4</v>
      </c>
      <c r="J444" s="3">
        <v>5</v>
      </c>
    </row>
    <row r="445" spans="1:10" ht="16.5" thickTop="1" thickBot="1">
      <c r="A445" s="429"/>
      <c r="B445" s="430"/>
      <c r="C445" s="430"/>
      <c r="D445" s="430"/>
      <c r="E445" s="431"/>
      <c r="F445" s="4" t="str">
        <f ca="1">IF('IWP01'!ContractNumber = "", "", IF('IWP01'!Std10dot6 = "", "E", 'IWP01'!Std10dot6))</f>
        <v/>
      </c>
      <c r="G445" s="4" t="str">
        <f ca="1">IF('IWP02'!ContractNumber = "", "", IF('IWP02'!Std10dot6 = "", "E", 'IWP02'!Std10dot6))</f>
        <v/>
      </c>
      <c r="H445" s="4" t="str">
        <f ca="1">IF('IWP03'!ContractNumber = "", "", IF('IWP03'!Std10dot6 = "", "E", 'IWP03'!Std10dot6))</f>
        <v/>
      </c>
      <c r="I445" s="4" t="str">
        <f ca="1">IF('IWP04'!ContractNumber = "", "", IF('IWP04'!Std10dot6 = "", "E", 'IWP04'!Std10dot6))</f>
        <v/>
      </c>
      <c r="J445" s="4" t="str">
        <f ca="1">IF('IWP05'!ContractNumber = "", "", IF('IWP05'!Std10dot6 = "", "E", 'IWP05'!Std10dot6))</f>
        <v/>
      </c>
    </row>
    <row r="446" spans="1:10" ht="16.5" thickTop="1" thickBot="1">
      <c r="A446" s="429"/>
      <c r="B446" s="430"/>
      <c r="C446" s="430"/>
      <c r="D446" s="430"/>
      <c r="E446" s="431"/>
      <c r="F446" s="3">
        <v>6</v>
      </c>
      <c r="G446" s="3">
        <v>7</v>
      </c>
      <c r="H446" s="3">
        <v>8</v>
      </c>
      <c r="I446" s="412"/>
      <c r="J446" s="413"/>
    </row>
    <row r="447" spans="1:10" ht="16.5" thickTop="1" thickBot="1">
      <c r="A447" s="429"/>
      <c r="B447" s="430"/>
      <c r="C447" s="430"/>
      <c r="D447" s="430"/>
      <c r="E447" s="431"/>
      <c r="F447" s="4" t="str">
        <f ca="1">IF('IWP06'!ContractNumber = "", "", IF('IWP06'!Std10dot6 = "", "E", 'IWP06'!Std10dot6))</f>
        <v/>
      </c>
      <c r="G447" s="4" t="str">
        <f ca="1">IF('IWP07'!ContractNumber = "", "", IF('IWP07'!Std10dot6 = "", "E", 'IWP07'!Std10dot6))</f>
        <v/>
      </c>
      <c r="H447" s="4" t="str">
        <f ca="1">IF('IWP08'!ContractNumber = "", "", IF('IWP08'!Std10dot6 = "", "E", 'IWP08'!Std10dot6))</f>
        <v/>
      </c>
      <c r="I447" s="414"/>
      <c r="J447" s="415"/>
    </row>
    <row r="448" spans="1:10" ht="16" thickTop="1">
      <c r="A448" s="487" t="s">
        <v>1099</v>
      </c>
      <c r="B448" s="488"/>
      <c r="C448" s="488"/>
      <c r="D448" s="488"/>
      <c r="E448" s="489"/>
      <c r="F448" s="414"/>
      <c r="G448" s="416"/>
      <c r="H448" s="416"/>
      <c r="I448" s="416"/>
      <c r="J448" s="415"/>
    </row>
    <row r="449" spans="1:10">
      <c r="A449" s="487"/>
      <c r="B449" s="488"/>
      <c r="C449" s="488"/>
      <c r="D449" s="488"/>
      <c r="E449" s="489"/>
      <c r="F449" s="414"/>
      <c r="G449" s="416"/>
      <c r="H449" s="416"/>
      <c r="I449" s="416"/>
      <c r="J449" s="415"/>
    </row>
    <row r="450" spans="1:10">
      <c r="A450" s="487"/>
      <c r="B450" s="488"/>
      <c r="C450" s="488"/>
      <c r="D450" s="488"/>
      <c r="E450" s="489"/>
      <c r="F450" s="414"/>
      <c r="G450" s="416"/>
      <c r="H450" s="416"/>
      <c r="I450" s="416"/>
      <c r="J450" s="415"/>
    </row>
    <row r="451" spans="1:10">
      <c r="A451" s="461" t="s">
        <v>925</v>
      </c>
      <c r="B451" s="462"/>
      <c r="C451" s="462"/>
      <c r="D451" s="462"/>
      <c r="E451" s="463"/>
      <c r="F451" s="414"/>
      <c r="G451" s="416"/>
      <c r="H451" s="416"/>
      <c r="I451" s="416"/>
      <c r="J451" s="415"/>
    </row>
    <row r="452" spans="1:10">
      <c r="A452" s="461"/>
      <c r="B452" s="462"/>
      <c r="C452" s="462"/>
      <c r="D452" s="462"/>
      <c r="E452" s="463"/>
      <c r="F452" s="414"/>
      <c r="G452" s="416"/>
      <c r="H452" s="416"/>
      <c r="I452" s="416"/>
      <c r="J452" s="415"/>
    </row>
    <row r="453" spans="1:10">
      <c r="A453" s="461"/>
      <c r="B453" s="462"/>
      <c r="C453" s="462"/>
      <c r="D453" s="462"/>
      <c r="E453" s="463"/>
      <c r="F453" s="414"/>
      <c r="G453" s="416"/>
      <c r="H453" s="416"/>
      <c r="I453" s="416"/>
      <c r="J453" s="415"/>
    </row>
    <row r="454" spans="1:10">
      <c r="A454" s="461"/>
      <c r="B454" s="462"/>
      <c r="C454" s="462"/>
      <c r="D454" s="462"/>
      <c r="E454" s="463"/>
      <c r="F454" s="414"/>
      <c r="G454" s="416"/>
      <c r="H454" s="416"/>
      <c r="I454" s="416"/>
      <c r="J454" s="415"/>
    </row>
    <row r="455" spans="1:10" ht="16" thickBot="1">
      <c r="A455" s="464"/>
      <c r="B455" s="465"/>
      <c r="C455" s="465"/>
      <c r="D455" s="465"/>
      <c r="E455" s="466"/>
      <c r="F455" s="417"/>
      <c r="G455" s="418"/>
      <c r="H455" s="418"/>
      <c r="I455" s="418"/>
      <c r="J455" s="419"/>
    </row>
    <row r="456" spans="1:10" ht="16.5" thickTop="1" thickBot="1">
      <c r="A456" s="432" t="s">
        <v>14</v>
      </c>
      <c r="B456" s="422"/>
      <c r="C456" s="422"/>
      <c r="D456" s="422"/>
      <c r="E456" s="422"/>
      <c r="F456" s="423"/>
      <c r="G456" s="437" t="s">
        <v>17</v>
      </c>
      <c r="H456" s="438"/>
      <c r="I456" s="437" t="s">
        <v>18</v>
      </c>
      <c r="J456" s="438"/>
    </row>
    <row r="457" spans="1:10" ht="16.5" thickTop="1" thickBot="1">
      <c r="A457" s="433"/>
      <c r="B457" s="424"/>
      <c r="C457" s="424"/>
      <c r="D457" s="424"/>
      <c r="E457" s="424"/>
      <c r="F457" s="425"/>
      <c r="G457" s="437">
        <f ca="1">COUNTIF(F445:J455, "Y")</f>
        <v>0</v>
      </c>
      <c r="H457" s="438"/>
      <c r="I457" s="437">
        <f ca="1">COUNTIF(F445:J455, "N")</f>
        <v>0</v>
      </c>
      <c r="J457" s="438"/>
    </row>
    <row r="458" spans="1:10" ht="16.5" thickTop="1" thickBot="1">
      <c r="A458" s="450" t="s">
        <v>164</v>
      </c>
      <c r="B458" s="451"/>
      <c r="C458" s="451"/>
      <c r="D458" s="451"/>
      <c r="E458" s="451"/>
      <c r="F458" s="452"/>
      <c r="G458" s="437" t="s">
        <v>15</v>
      </c>
      <c r="H458" s="438"/>
      <c r="I458" s="437" t="s">
        <v>16</v>
      </c>
      <c r="J458" s="438"/>
    </row>
    <row r="459" spans="1:10" ht="16.5" thickTop="1" thickBot="1">
      <c r="A459" s="453"/>
      <c r="B459" s="454"/>
      <c r="C459" s="454"/>
      <c r="D459" s="454"/>
      <c r="E459" s="454"/>
      <c r="F459" s="455"/>
      <c r="G459" s="456">
        <f ca="1">SUM(G457,G443,G429,G415,G401,G387)</f>
        <v>0</v>
      </c>
      <c r="H459" s="457"/>
      <c r="I459" s="437">
        <f ca="1">SUM(I457,I443,I429,I415,I401,I387)</f>
        <v>0</v>
      </c>
      <c r="J459" s="438"/>
    </row>
    <row r="460" spans="1:10" ht="16" thickTop="1">
      <c r="A460" s="447" t="s">
        <v>165</v>
      </c>
      <c r="B460" s="448"/>
      <c r="C460" s="448"/>
      <c r="D460" s="448"/>
      <c r="E460" s="448"/>
      <c r="F460" s="448"/>
      <c r="G460" s="448"/>
      <c r="H460" s="448"/>
      <c r="I460" s="448"/>
      <c r="J460" s="449"/>
    </row>
    <row r="461" spans="1:10" ht="16" thickBot="1">
      <c r="A461" s="525" t="s">
        <v>429</v>
      </c>
      <c r="B461" s="526"/>
      <c r="C461" s="526"/>
      <c r="D461" s="526"/>
      <c r="E461" s="526"/>
      <c r="F461" s="526"/>
      <c r="G461" s="526"/>
      <c r="H461" s="526"/>
      <c r="I461" s="526"/>
      <c r="J461" s="527"/>
    </row>
    <row r="462" spans="1:10" ht="16.5" thickTop="1" thickBot="1">
      <c r="A462" s="426" t="s">
        <v>937</v>
      </c>
      <c r="B462" s="427"/>
      <c r="C462" s="427"/>
      <c r="D462" s="427"/>
      <c r="E462" s="428"/>
      <c r="F462" s="3">
        <v>1</v>
      </c>
      <c r="G462" s="3">
        <v>2</v>
      </c>
      <c r="H462" s="3">
        <v>3</v>
      </c>
      <c r="I462" s="3">
        <v>4</v>
      </c>
      <c r="J462" s="3">
        <v>5</v>
      </c>
    </row>
    <row r="463" spans="1:10" ht="16.5" thickTop="1" thickBot="1">
      <c r="A463" s="429"/>
      <c r="B463" s="430"/>
      <c r="C463" s="430"/>
      <c r="D463" s="430"/>
      <c r="E463" s="431"/>
      <c r="F463" s="4" t="str">
        <f ca="1">IF('IWP01'!ContractNumber = "", "", IF('IWP01'!Std11dot1 = "", "E", 'IWP01'!Std11dot1))</f>
        <v/>
      </c>
      <c r="G463" s="4" t="str">
        <f ca="1">IF('IWP02'!ContractNumber = "", "", IF('IWP02'!Std11dot1 = "", "E", 'IWP02'!Std11dot1))</f>
        <v/>
      </c>
      <c r="H463" s="4" t="str">
        <f ca="1">IF('IWP03'!ContractNumber = "", "", IF('IWP03'!Std11dot1 = "", "E", 'IWP03'!Std11dot1))</f>
        <v/>
      </c>
      <c r="I463" s="4" t="str">
        <f ca="1">IF('IWP04'!ContractNumber = "", "", IF('IWP04'!Std11dot1 = "", "E", 'IWP04'!Std11dot1))</f>
        <v/>
      </c>
      <c r="J463" s="4" t="str">
        <f ca="1">IF('IWP05'!ContractNumber = "", "", IF('IWP05'!Std11dot1 = "", "E", 'IWP05'!Std11dot1))</f>
        <v/>
      </c>
    </row>
    <row r="464" spans="1:10" ht="16.5" thickTop="1" thickBot="1">
      <c r="A464" s="484"/>
      <c r="B464" s="485"/>
      <c r="C464" s="485"/>
      <c r="D464" s="485"/>
      <c r="E464" s="486"/>
      <c r="F464" s="3">
        <v>6</v>
      </c>
      <c r="G464" s="3">
        <v>7</v>
      </c>
      <c r="H464" s="3">
        <v>8</v>
      </c>
      <c r="I464" s="412"/>
      <c r="J464" s="413"/>
    </row>
    <row r="465" spans="1:10" ht="16.5" thickTop="1" thickBot="1">
      <c r="A465" s="484"/>
      <c r="B465" s="485"/>
      <c r="C465" s="485"/>
      <c r="D465" s="485"/>
      <c r="E465" s="486"/>
      <c r="F465" s="4" t="str">
        <f ca="1">IF('IWP06'!ContractNumber = "", "", IF('IWP06'!Std11dot1 = "", "E", 'IWP06'!Std11dot1))</f>
        <v/>
      </c>
      <c r="G465" s="4" t="str">
        <f ca="1">IF('IWP07'!ContractNumber = "", "", IF('IWP07'!Std11dot1 = "", "E", 'IWP07'!Std11dot1))</f>
        <v/>
      </c>
      <c r="H465" s="4" t="str">
        <f ca="1">IF('IWP08'!ContractNumber = "", "", IF('IWP08'!Std11dot1 = "", "E", 'IWP08'!Std11dot1))</f>
        <v/>
      </c>
      <c r="I465" s="414"/>
      <c r="J465" s="415"/>
    </row>
    <row r="466" spans="1:10" ht="16" thickTop="1">
      <c r="A466" s="484"/>
      <c r="B466" s="485"/>
      <c r="C466" s="485"/>
      <c r="D466" s="485"/>
      <c r="E466" s="486"/>
      <c r="F466" s="414"/>
      <c r="G466" s="416"/>
      <c r="H466" s="416"/>
      <c r="I466" s="416"/>
      <c r="J466" s="415"/>
    </row>
    <row r="467" spans="1:10">
      <c r="A467" s="484"/>
      <c r="B467" s="485"/>
      <c r="C467" s="485"/>
      <c r="D467" s="485"/>
      <c r="E467" s="486"/>
      <c r="F467" s="414"/>
      <c r="G467" s="416"/>
      <c r="H467" s="416"/>
      <c r="I467" s="416"/>
      <c r="J467" s="415"/>
    </row>
    <row r="468" spans="1:10">
      <c r="A468" s="484"/>
      <c r="B468" s="485"/>
      <c r="C468" s="485"/>
      <c r="D468" s="485"/>
      <c r="E468" s="486"/>
      <c r="F468" s="414"/>
      <c r="G468" s="416"/>
      <c r="H468" s="416"/>
      <c r="I468" s="416"/>
      <c r="J468" s="415"/>
    </row>
    <row r="469" spans="1:10">
      <c r="A469" s="484"/>
      <c r="B469" s="485"/>
      <c r="C469" s="485"/>
      <c r="D469" s="485"/>
      <c r="E469" s="486"/>
      <c r="F469" s="414"/>
      <c r="G469" s="416"/>
      <c r="H469" s="416"/>
      <c r="I469" s="416"/>
      <c r="J469" s="415"/>
    </row>
    <row r="470" spans="1:10">
      <c r="A470" s="484"/>
      <c r="B470" s="485"/>
      <c r="C470" s="485"/>
      <c r="D470" s="485"/>
      <c r="E470" s="486"/>
      <c r="F470" s="414"/>
      <c r="G470" s="416"/>
      <c r="H470" s="416"/>
      <c r="I470" s="416"/>
      <c r="J470" s="415"/>
    </row>
    <row r="471" spans="1:10">
      <c r="A471" s="461" t="s">
        <v>1102</v>
      </c>
      <c r="B471" s="462"/>
      <c r="C471" s="462"/>
      <c r="D471" s="462"/>
      <c r="E471" s="463"/>
      <c r="F471" s="414"/>
      <c r="G471" s="416"/>
      <c r="H471" s="416"/>
      <c r="I471" s="416"/>
      <c r="J471" s="415"/>
    </row>
    <row r="472" spans="1:10">
      <c r="A472" s="461"/>
      <c r="B472" s="462"/>
      <c r="C472" s="462"/>
      <c r="D472" s="462"/>
      <c r="E472" s="463"/>
      <c r="F472" s="414"/>
      <c r="G472" s="416"/>
      <c r="H472" s="416"/>
      <c r="I472" s="416"/>
      <c r="J472" s="415"/>
    </row>
    <row r="473" spans="1:10" ht="16" thickBot="1">
      <c r="A473" s="464"/>
      <c r="B473" s="465"/>
      <c r="C473" s="465"/>
      <c r="D473" s="465"/>
      <c r="E473" s="466"/>
      <c r="F473" s="417"/>
      <c r="G473" s="418"/>
      <c r="H473" s="418"/>
      <c r="I473" s="418"/>
      <c r="J473" s="419"/>
    </row>
    <row r="474" spans="1:10" ht="15.75" customHeight="1" thickTop="1">
      <c r="A474" s="496" t="s">
        <v>1103</v>
      </c>
      <c r="B474" s="497"/>
      <c r="C474" s="497"/>
      <c r="D474" s="497"/>
      <c r="E474" s="497"/>
      <c r="F474" s="498"/>
      <c r="G474" s="520" t="s">
        <v>17</v>
      </c>
      <c r="H474" s="521"/>
      <c r="I474" s="520" t="s">
        <v>18</v>
      </c>
      <c r="J474" s="521"/>
    </row>
    <row r="475" spans="1:10" ht="16" thickBot="1">
      <c r="A475" s="499"/>
      <c r="B475" s="500"/>
      <c r="C475" s="500"/>
      <c r="D475" s="500"/>
      <c r="E475" s="500"/>
      <c r="F475" s="501"/>
      <c r="G475" s="456"/>
      <c r="H475" s="457"/>
      <c r="I475" s="456"/>
      <c r="J475" s="457"/>
    </row>
    <row r="476" spans="1:10" ht="16.5" customHeight="1" thickTop="1">
      <c r="A476" s="490"/>
      <c r="B476" s="491"/>
      <c r="C476" s="491"/>
      <c r="D476" s="491"/>
      <c r="E476" s="491"/>
      <c r="F476" s="492"/>
      <c r="G476" s="520">
        <f ca="1">COUNTIF(F463:J473, "Y")</f>
        <v>0</v>
      </c>
      <c r="H476" s="521"/>
      <c r="I476" s="520">
        <f ca="1">COUNTIF(F463:J473, "N")</f>
        <v>0</v>
      </c>
      <c r="J476" s="521"/>
    </row>
    <row r="477" spans="1:10" ht="16.5" customHeight="1" thickBot="1">
      <c r="A477" s="493"/>
      <c r="B477" s="494"/>
      <c r="C477" s="494"/>
      <c r="D477" s="494"/>
      <c r="E477" s="494"/>
      <c r="F477" s="495"/>
      <c r="G477" s="456"/>
      <c r="H477" s="457"/>
      <c r="I477" s="456">
        <f t="shared" ref="I477" ca="1" si="0">COUNTIF(F465:J475, "N")</f>
        <v>0</v>
      </c>
      <c r="J477" s="457"/>
    </row>
    <row r="478" spans="1:10" ht="16.5" thickTop="1" thickBot="1">
      <c r="A478" s="426" t="s">
        <v>944</v>
      </c>
      <c r="B478" s="427"/>
      <c r="C478" s="427"/>
      <c r="D478" s="427"/>
      <c r="E478" s="428"/>
      <c r="F478" s="3">
        <v>1</v>
      </c>
      <c r="G478" s="3">
        <v>2</v>
      </c>
      <c r="H478" s="3">
        <v>3</v>
      </c>
      <c r="I478" s="3">
        <v>4</v>
      </c>
      <c r="J478" s="3">
        <v>5</v>
      </c>
    </row>
    <row r="479" spans="1:10" ht="16.5" thickTop="1" thickBot="1">
      <c r="A479" s="429"/>
      <c r="B479" s="430"/>
      <c r="C479" s="430"/>
      <c r="D479" s="430"/>
      <c r="E479" s="431"/>
      <c r="F479" s="4" t="str">
        <f ca="1">IF('IWP01'!ContractNumber = "", "", IF('IWP01'!Std11dot2 = "", "E", 'IWP01'!Std11dot2))</f>
        <v/>
      </c>
      <c r="G479" s="4" t="str">
        <f ca="1">IF('IWP02'!ContractNumber = "", "", IF('IWP02'!Std11dot2 = "", "E", 'IWP02'!Std11dot2))</f>
        <v/>
      </c>
      <c r="H479" s="4" t="str">
        <f ca="1">IF('IWP03'!ContractNumber = "", "", IF('IWP03'!Std11dot2 = "", "E", 'IWP03'!Std11dot2))</f>
        <v/>
      </c>
      <c r="I479" s="4" t="str">
        <f ca="1">IF('IWP04'!ContractNumber = "", "", IF('IWP04'!Std11dot2 = "", "E", 'IWP04'!Std11dot2))</f>
        <v/>
      </c>
      <c r="J479" s="4" t="str">
        <f ca="1">IF('IWP05'!ContractNumber = "", "", IF('IWP05'!Std11dot2 = "", "E", 'IWP05'!Std11dot2))</f>
        <v/>
      </c>
    </row>
    <row r="480" spans="1:10" ht="16.5" thickTop="1" thickBot="1">
      <c r="A480" s="429"/>
      <c r="B480" s="430"/>
      <c r="C480" s="430"/>
      <c r="D480" s="430"/>
      <c r="E480" s="431"/>
      <c r="F480" s="3">
        <v>6</v>
      </c>
      <c r="G480" s="3">
        <v>7</v>
      </c>
      <c r="H480" s="3">
        <v>8</v>
      </c>
      <c r="I480" s="412"/>
      <c r="J480" s="413"/>
    </row>
    <row r="481" spans="1:10" ht="16.5" thickTop="1" thickBot="1">
      <c r="A481" s="439" t="s">
        <v>1104</v>
      </c>
      <c r="B481" s="440"/>
      <c r="C481" s="440"/>
      <c r="D481" s="440"/>
      <c r="E481" s="441"/>
      <c r="F481" s="4" t="str">
        <f ca="1">IF('IWP06'!ContractNumber = "", "", IF('IWP06'!Std11dot2 = "", "E", 'IWP06'!Std11dot2))</f>
        <v/>
      </c>
      <c r="G481" s="4" t="str">
        <f ca="1">IF('IWP07'!ContractNumber = "", "", IF('IWP07'!Std11dot2 = "", "E", 'IWP07'!Std11dot2))</f>
        <v/>
      </c>
      <c r="H481" s="4" t="str">
        <f ca="1">IF('IWP08'!ContractNumber = "", "", IF('IWP08'!Std11dot2 = "", "E", 'IWP08'!Std11dot2))</f>
        <v/>
      </c>
      <c r="I481" s="414"/>
      <c r="J481" s="415"/>
    </row>
    <row r="482" spans="1:10" ht="16" thickTop="1">
      <c r="A482" s="439"/>
      <c r="B482" s="440"/>
      <c r="C482" s="440"/>
      <c r="D482" s="440"/>
      <c r="E482" s="441"/>
      <c r="F482" s="414"/>
      <c r="G482" s="416"/>
      <c r="H482" s="416"/>
      <c r="I482" s="416"/>
      <c r="J482" s="415"/>
    </row>
    <row r="483" spans="1:10">
      <c r="A483" s="439"/>
      <c r="B483" s="440"/>
      <c r="C483" s="440"/>
      <c r="D483" s="440"/>
      <c r="E483" s="441"/>
      <c r="F483" s="414"/>
      <c r="G483" s="416"/>
      <c r="H483" s="416"/>
      <c r="I483" s="416"/>
      <c r="J483" s="415"/>
    </row>
    <row r="484" spans="1:10">
      <c r="A484" s="461" t="s">
        <v>979</v>
      </c>
      <c r="B484" s="462"/>
      <c r="C484" s="462"/>
      <c r="D484" s="462"/>
      <c r="E484" s="463"/>
      <c r="F484" s="414"/>
      <c r="G484" s="416"/>
      <c r="H484" s="416"/>
      <c r="I484" s="416"/>
      <c r="J484" s="415"/>
    </row>
    <row r="485" spans="1:10">
      <c r="A485" s="461"/>
      <c r="B485" s="462"/>
      <c r="C485" s="462"/>
      <c r="D485" s="462"/>
      <c r="E485" s="463"/>
      <c r="F485" s="414"/>
      <c r="G485" s="416"/>
      <c r="H485" s="416"/>
      <c r="I485" s="416"/>
      <c r="J485" s="415"/>
    </row>
    <row r="486" spans="1:10">
      <c r="A486" s="461"/>
      <c r="B486" s="462"/>
      <c r="C486" s="462"/>
      <c r="D486" s="462"/>
      <c r="E486" s="463"/>
      <c r="F486" s="414"/>
      <c r="G486" s="416"/>
      <c r="H486" s="416"/>
      <c r="I486" s="416"/>
      <c r="J486" s="415"/>
    </row>
    <row r="487" spans="1:10">
      <c r="A487" s="461"/>
      <c r="B487" s="462"/>
      <c r="C487" s="462"/>
      <c r="D487" s="462"/>
      <c r="E487" s="463"/>
      <c r="F487" s="414"/>
      <c r="G487" s="416"/>
      <c r="H487" s="416"/>
      <c r="I487" s="416"/>
      <c r="J487" s="415"/>
    </row>
    <row r="488" spans="1:10">
      <c r="A488" s="461"/>
      <c r="B488" s="462"/>
      <c r="C488" s="462"/>
      <c r="D488" s="462"/>
      <c r="E488" s="463"/>
      <c r="F488" s="414"/>
      <c r="G488" s="416"/>
      <c r="H488" s="416"/>
      <c r="I488" s="416"/>
      <c r="J488" s="415"/>
    </row>
    <row r="489" spans="1:10" ht="16" thickBot="1">
      <c r="A489" s="464"/>
      <c r="B489" s="465"/>
      <c r="C489" s="465"/>
      <c r="D489" s="465"/>
      <c r="E489" s="466"/>
      <c r="F489" s="417"/>
      <c r="G489" s="418"/>
      <c r="H489" s="418"/>
      <c r="I489" s="418"/>
      <c r="J489" s="419"/>
    </row>
    <row r="490" spans="1:10" ht="16.5" thickTop="1" thickBot="1">
      <c r="A490" s="432" t="s">
        <v>14</v>
      </c>
      <c r="B490" s="422"/>
      <c r="C490" s="422"/>
      <c r="D490" s="422"/>
      <c r="E490" s="422"/>
      <c r="F490" s="423"/>
      <c r="G490" s="437" t="s">
        <v>17</v>
      </c>
      <c r="H490" s="438"/>
      <c r="I490" s="437" t="s">
        <v>18</v>
      </c>
      <c r="J490" s="438"/>
    </row>
    <row r="491" spans="1:10" ht="16.5" thickTop="1" thickBot="1">
      <c r="A491" s="433"/>
      <c r="B491" s="424"/>
      <c r="C491" s="424"/>
      <c r="D491" s="424"/>
      <c r="E491" s="424"/>
      <c r="F491" s="425"/>
      <c r="G491" s="437">
        <f ca="1">COUNTIF(F479:J489, "Y")</f>
        <v>0</v>
      </c>
      <c r="H491" s="438"/>
      <c r="I491" s="437">
        <f ca="1">COUNTIF(F479:J489, "N")</f>
        <v>0</v>
      </c>
      <c r="J491" s="438"/>
    </row>
    <row r="492" spans="1:10" ht="16.5" thickTop="1" thickBot="1">
      <c r="A492" s="426" t="s">
        <v>945</v>
      </c>
      <c r="B492" s="427"/>
      <c r="C492" s="427"/>
      <c r="D492" s="427"/>
      <c r="E492" s="428"/>
      <c r="F492" s="3">
        <v>1</v>
      </c>
      <c r="G492" s="3">
        <v>2</v>
      </c>
      <c r="H492" s="3">
        <v>3</v>
      </c>
      <c r="I492" s="3">
        <v>4</v>
      </c>
      <c r="J492" s="3">
        <v>5</v>
      </c>
    </row>
    <row r="493" spans="1:10" ht="16.5" thickTop="1" thickBot="1">
      <c r="A493" s="429"/>
      <c r="B493" s="430"/>
      <c r="C493" s="430"/>
      <c r="D493" s="430"/>
      <c r="E493" s="431"/>
      <c r="F493" s="4" t="str">
        <f ca="1">IF('IWP01'!ContractNumber = "", "", IF('IWP01'!Std11dot3 = "", "E", 'IWP01'!Std11dot3))</f>
        <v/>
      </c>
      <c r="G493" s="4" t="str">
        <f ca="1">IF('IWP02'!ContractNumber = "", "", IF('IWP02'!Std11dot3 = "", "E", 'IWP02'!Std11dot3))</f>
        <v/>
      </c>
      <c r="H493" s="4" t="str">
        <f ca="1">IF('IWP03'!ContractNumber = "", "", IF('IWP03'!Std11dot3 = "", "E", 'IWP03'!Std11dot3))</f>
        <v/>
      </c>
      <c r="I493" s="4" t="str">
        <f ca="1">IF('IWP04'!ContractNumber = "", "", IF('IWP04'!Std11dot3 = "", "E", 'IWP04'!Std11dot3))</f>
        <v/>
      </c>
      <c r="J493" s="4" t="str">
        <f ca="1">IF('IWP05'!ContractNumber = "", "", IF('IWP05'!Std11dot3 = "", "E", 'IWP05'!Std11dot3))</f>
        <v/>
      </c>
    </row>
    <row r="494" spans="1:10" ht="16.5" thickTop="1" thickBot="1">
      <c r="A494" s="429"/>
      <c r="B494" s="430"/>
      <c r="C494" s="430"/>
      <c r="D494" s="430"/>
      <c r="E494" s="431"/>
      <c r="F494" s="3">
        <v>6</v>
      </c>
      <c r="G494" s="3">
        <v>7</v>
      </c>
      <c r="H494" s="3">
        <v>8</v>
      </c>
      <c r="I494" s="412"/>
      <c r="J494" s="413"/>
    </row>
    <row r="495" spans="1:10" ht="16.5" thickTop="1" thickBot="1">
      <c r="A495" s="429"/>
      <c r="B495" s="430"/>
      <c r="C495" s="430"/>
      <c r="D495" s="430"/>
      <c r="E495" s="431"/>
      <c r="F495" s="4" t="str">
        <f ca="1">IF('IWP06'!ContractNumber = "", "", IF('IWP06'!Std11dot3 = "", "E", 'IWP06'!Std11dot3))</f>
        <v/>
      </c>
      <c r="G495" s="4" t="str">
        <f ca="1">IF('IWP07'!ContractNumber = "", "", IF('IWP07'!Std11dot3 = "", "E", 'IWP07'!Std11dot3))</f>
        <v/>
      </c>
      <c r="H495" s="4" t="str">
        <f ca="1">IF('IWP08'!ContractNumber = "", "", IF('IWP08'!Std11dot3 = "", "E", 'IWP08'!Std11dot3))</f>
        <v/>
      </c>
      <c r="I495" s="414"/>
      <c r="J495" s="415"/>
    </row>
    <row r="496" spans="1:10" ht="16" thickTop="1">
      <c r="A496" s="429"/>
      <c r="B496" s="430"/>
      <c r="C496" s="430"/>
      <c r="D496" s="430"/>
      <c r="E496" s="431"/>
      <c r="F496" s="414"/>
      <c r="G496" s="416"/>
      <c r="H496" s="416"/>
      <c r="I496" s="416"/>
      <c r="J496" s="415"/>
    </row>
    <row r="497" spans="1:10">
      <c r="A497" s="484" t="s">
        <v>1104</v>
      </c>
      <c r="B497" s="485"/>
      <c r="C497" s="485"/>
      <c r="D497" s="485"/>
      <c r="E497" s="486"/>
      <c r="F497" s="414"/>
      <c r="G497" s="416"/>
      <c r="H497" s="416"/>
      <c r="I497" s="416"/>
      <c r="J497" s="415"/>
    </row>
    <row r="498" spans="1:10">
      <c r="A498" s="484"/>
      <c r="B498" s="485"/>
      <c r="C498" s="485"/>
      <c r="D498" s="485"/>
      <c r="E498" s="486"/>
      <c r="F498" s="414"/>
      <c r="G498" s="416"/>
      <c r="H498" s="416"/>
      <c r="I498" s="416"/>
      <c r="J498" s="415"/>
    </row>
    <row r="499" spans="1:10">
      <c r="A499" s="484"/>
      <c r="B499" s="485"/>
      <c r="C499" s="485"/>
      <c r="D499" s="485"/>
      <c r="E499" s="486"/>
      <c r="F499" s="414"/>
      <c r="G499" s="416"/>
      <c r="H499" s="416"/>
      <c r="I499" s="416"/>
      <c r="J499" s="415"/>
    </row>
    <row r="500" spans="1:10">
      <c r="A500" s="461" t="s">
        <v>980</v>
      </c>
      <c r="B500" s="462"/>
      <c r="C500" s="462"/>
      <c r="D500" s="462"/>
      <c r="E500" s="463"/>
      <c r="F500" s="414"/>
      <c r="G500" s="416"/>
      <c r="H500" s="416"/>
      <c r="I500" s="416"/>
      <c r="J500" s="415"/>
    </row>
    <row r="501" spans="1:10">
      <c r="A501" s="461"/>
      <c r="B501" s="462"/>
      <c r="C501" s="462"/>
      <c r="D501" s="462"/>
      <c r="E501" s="463"/>
      <c r="F501" s="414"/>
      <c r="G501" s="416"/>
      <c r="H501" s="416"/>
      <c r="I501" s="416"/>
      <c r="J501" s="415"/>
    </row>
    <row r="502" spans="1:10">
      <c r="A502" s="461"/>
      <c r="B502" s="462"/>
      <c r="C502" s="462"/>
      <c r="D502" s="462"/>
      <c r="E502" s="463"/>
      <c r="F502" s="414"/>
      <c r="G502" s="416"/>
      <c r="H502" s="416"/>
      <c r="I502" s="416"/>
      <c r="J502" s="415"/>
    </row>
    <row r="503" spans="1:10" ht="16" thickBot="1">
      <c r="A503" s="464"/>
      <c r="B503" s="465"/>
      <c r="C503" s="465"/>
      <c r="D503" s="465"/>
      <c r="E503" s="466"/>
      <c r="F503" s="417"/>
      <c r="G503" s="418"/>
      <c r="H503" s="418"/>
      <c r="I503" s="418"/>
      <c r="J503" s="419"/>
    </row>
    <row r="504" spans="1:10" ht="16.5" thickTop="1" thickBot="1">
      <c r="A504" s="432" t="s">
        <v>14</v>
      </c>
      <c r="B504" s="422"/>
      <c r="C504" s="422"/>
      <c r="D504" s="422"/>
      <c r="E504" s="422"/>
      <c r="F504" s="423"/>
      <c r="G504" s="437" t="s">
        <v>17</v>
      </c>
      <c r="H504" s="438"/>
      <c r="I504" s="437" t="s">
        <v>18</v>
      </c>
      <c r="J504" s="438"/>
    </row>
    <row r="505" spans="1:10" ht="16.5" thickTop="1" thickBot="1">
      <c r="A505" s="433"/>
      <c r="B505" s="424"/>
      <c r="C505" s="424"/>
      <c r="D505" s="424"/>
      <c r="E505" s="424"/>
      <c r="F505" s="425"/>
      <c r="G505" s="437">
        <f ca="1">COUNTIF(F493:J503, "Y")</f>
        <v>0</v>
      </c>
      <c r="H505" s="438"/>
      <c r="I505" s="437">
        <f ca="1">COUNTIF(F493:J503, "N")</f>
        <v>0</v>
      </c>
      <c r="J505" s="438"/>
    </row>
    <row r="506" spans="1:10" ht="16.5" thickTop="1" thickBot="1">
      <c r="A506" s="426" t="s">
        <v>946</v>
      </c>
      <c r="B506" s="427"/>
      <c r="C506" s="427"/>
      <c r="D506" s="427"/>
      <c r="E506" s="428"/>
      <c r="F506" s="3">
        <v>1</v>
      </c>
      <c r="G506" s="3">
        <v>2</v>
      </c>
      <c r="H506" s="3">
        <v>3</v>
      </c>
      <c r="I506" s="3">
        <v>4</v>
      </c>
      <c r="J506" s="3">
        <v>5</v>
      </c>
    </row>
    <row r="507" spans="1:10" ht="16.5" thickTop="1" thickBot="1">
      <c r="A507" s="429"/>
      <c r="B507" s="430"/>
      <c r="C507" s="430"/>
      <c r="D507" s="430"/>
      <c r="E507" s="431"/>
      <c r="F507" s="4" t="str">
        <f ca="1">IF('IWP01'!ContractNumber = "", "", IF('IWP01'!Std11dot4 = "", "E", 'IWP01'!Std11dot4))</f>
        <v/>
      </c>
      <c r="G507" s="4" t="str">
        <f ca="1">IF('IWP02'!ContractNumber = "", "", IF('IWP02'!Std11dot4 = "", "E", 'IWP02'!Std11dot4))</f>
        <v/>
      </c>
      <c r="H507" s="4" t="str">
        <f ca="1">IF('IWP03'!ContractNumber = "", "", IF('IWP03'!Std11dot4 = "", "E", 'IWP03'!Std11dot4))</f>
        <v/>
      </c>
      <c r="I507" s="4" t="str">
        <f ca="1">IF('IWP04'!ContractNumber = "", "", IF('IWP04'!Std11dot4 = "", "E", 'IWP04'!Std11dot4))</f>
        <v/>
      </c>
      <c r="J507" s="4" t="str">
        <f ca="1">IF('IWP05'!ContractNumber = "", "", IF('IWP05'!Std11dot4 = "", "E", 'IWP05'!Std11dot4))</f>
        <v/>
      </c>
    </row>
    <row r="508" spans="1:10" ht="16.5" thickTop="1" thickBot="1">
      <c r="A508" s="429"/>
      <c r="B508" s="430"/>
      <c r="C508" s="430"/>
      <c r="D508" s="430"/>
      <c r="E508" s="431"/>
      <c r="F508" s="3">
        <v>6</v>
      </c>
      <c r="G508" s="3">
        <v>7</v>
      </c>
      <c r="H508" s="3">
        <v>8</v>
      </c>
      <c r="I508" s="412"/>
      <c r="J508" s="413"/>
    </row>
    <row r="509" spans="1:10" ht="16.5" thickTop="1" thickBot="1">
      <c r="A509" s="429"/>
      <c r="B509" s="430"/>
      <c r="C509" s="430"/>
      <c r="D509" s="430"/>
      <c r="E509" s="431"/>
      <c r="F509" s="4" t="str">
        <f ca="1">IF('IWP06'!ContractNumber = "", "", IF('IWP06'!Std11dot4 = "", "E", 'IWP06'!Std11dot4))</f>
        <v/>
      </c>
      <c r="G509" s="4" t="str">
        <f ca="1">IF('IWP07'!ContractNumber = "", "", IF('IWP07'!Std11dot4 = "", "E", 'IWP07'!Std11dot4))</f>
        <v/>
      </c>
      <c r="H509" s="4" t="str">
        <f ca="1">IF('IWP08'!ContractNumber = "", "", IF('IWP08'!Std11dot4 = "", "E", 'IWP08'!Std11dot4))</f>
        <v/>
      </c>
      <c r="I509" s="414"/>
      <c r="J509" s="415"/>
    </row>
    <row r="510" spans="1:10" ht="16" thickTop="1">
      <c r="A510" s="429"/>
      <c r="B510" s="430"/>
      <c r="C510" s="430"/>
      <c r="D510" s="430"/>
      <c r="E510" s="431"/>
      <c r="F510" s="414"/>
      <c r="G510" s="416"/>
      <c r="H510" s="416"/>
      <c r="I510" s="416"/>
      <c r="J510" s="415"/>
    </row>
    <row r="511" spans="1:10">
      <c r="A511" s="484" t="s">
        <v>1104</v>
      </c>
      <c r="B511" s="485"/>
      <c r="C511" s="485"/>
      <c r="D511" s="485"/>
      <c r="E511" s="486"/>
      <c r="F511" s="414"/>
      <c r="G511" s="416"/>
      <c r="H511" s="416"/>
      <c r="I511" s="416"/>
      <c r="J511" s="415"/>
    </row>
    <row r="512" spans="1:10">
      <c r="A512" s="484"/>
      <c r="B512" s="485"/>
      <c r="C512" s="485"/>
      <c r="D512" s="485"/>
      <c r="E512" s="486"/>
      <c r="F512" s="414"/>
      <c r="G512" s="416"/>
      <c r="H512" s="416"/>
      <c r="I512" s="416"/>
      <c r="J512" s="415"/>
    </row>
    <row r="513" spans="1:10">
      <c r="A513" s="484"/>
      <c r="B513" s="485"/>
      <c r="C513" s="485"/>
      <c r="D513" s="485"/>
      <c r="E513" s="486"/>
      <c r="F513" s="414"/>
      <c r="G513" s="416"/>
      <c r="H513" s="416"/>
      <c r="I513" s="416"/>
      <c r="J513" s="415"/>
    </row>
    <row r="514" spans="1:10">
      <c r="A514" s="461" t="s">
        <v>981</v>
      </c>
      <c r="B514" s="462"/>
      <c r="C514" s="462"/>
      <c r="D514" s="462"/>
      <c r="E514" s="463"/>
      <c r="F514" s="414"/>
      <c r="G514" s="416"/>
      <c r="H514" s="416"/>
      <c r="I514" s="416"/>
      <c r="J514" s="415"/>
    </row>
    <row r="515" spans="1:10">
      <c r="A515" s="461"/>
      <c r="B515" s="462"/>
      <c r="C515" s="462"/>
      <c r="D515" s="462"/>
      <c r="E515" s="463"/>
      <c r="F515" s="414"/>
      <c r="G515" s="416"/>
      <c r="H515" s="416"/>
      <c r="I515" s="416"/>
      <c r="J515" s="415"/>
    </row>
    <row r="516" spans="1:10">
      <c r="A516" s="461"/>
      <c r="B516" s="462"/>
      <c r="C516" s="462"/>
      <c r="D516" s="462"/>
      <c r="E516" s="463"/>
      <c r="F516" s="414"/>
      <c r="G516" s="416"/>
      <c r="H516" s="416"/>
      <c r="I516" s="416"/>
      <c r="J516" s="415"/>
    </row>
    <row r="517" spans="1:10" ht="16" thickBot="1">
      <c r="A517" s="464"/>
      <c r="B517" s="465"/>
      <c r="C517" s="465"/>
      <c r="D517" s="465"/>
      <c r="E517" s="466"/>
      <c r="F517" s="417"/>
      <c r="G517" s="418"/>
      <c r="H517" s="418"/>
      <c r="I517" s="418"/>
      <c r="J517" s="419"/>
    </row>
    <row r="518" spans="1:10" ht="16.5" thickTop="1" thickBot="1">
      <c r="A518" s="432" t="s">
        <v>14</v>
      </c>
      <c r="B518" s="422"/>
      <c r="C518" s="422"/>
      <c r="D518" s="422"/>
      <c r="E518" s="422"/>
      <c r="F518" s="423"/>
      <c r="G518" s="437" t="s">
        <v>17</v>
      </c>
      <c r="H518" s="438"/>
      <c r="I518" s="437" t="s">
        <v>18</v>
      </c>
      <c r="J518" s="438"/>
    </row>
    <row r="519" spans="1:10" ht="16.5" thickTop="1" thickBot="1">
      <c r="A519" s="433"/>
      <c r="B519" s="424"/>
      <c r="C519" s="424"/>
      <c r="D519" s="424"/>
      <c r="E519" s="424"/>
      <c r="F519" s="425"/>
      <c r="G519" s="437">
        <f ca="1">COUNTIF(F507:J517, "Y")</f>
        <v>0</v>
      </c>
      <c r="H519" s="438"/>
      <c r="I519" s="437">
        <f ca="1">COUNTIF(F507:J517, "N")</f>
        <v>0</v>
      </c>
      <c r="J519" s="438"/>
    </row>
    <row r="520" spans="1:10" ht="16.5" thickTop="1" thickBot="1">
      <c r="A520" s="450" t="s">
        <v>165</v>
      </c>
      <c r="B520" s="451"/>
      <c r="C520" s="451"/>
      <c r="D520" s="451"/>
      <c r="E520" s="451"/>
      <c r="F520" s="452"/>
      <c r="G520" s="437" t="s">
        <v>15</v>
      </c>
      <c r="H520" s="438"/>
      <c r="I520" s="437" t="s">
        <v>16</v>
      </c>
      <c r="J520" s="438"/>
    </row>
    <row r="521" spans="1:10" ht="16.5" thickTop="1" thickBot="1">
      <c r="A521" s="453"/>
      <c r="B521" s="454"/>
      <c r="C521" s="454"/>
      <c r="D521" s="454"/>
      <c r="E521" s="454"/>
      <c r="F521" s="455"/>
      <c r="G521" s="456">
        <f ca="1">SUM(G519,G505,G491,G476)</f>
        <v>0</v>
      </c>
      <c r="H521" s="457"/>
      <c r="I521" s="437">
        <f ca="1">SUM(I519,I505,I491,I476)</f>
        <v>0</v>
      </c>
      <c r="J521" s="438"/>
    </row>
    <row r="522" spans="1:10" ht="16" thickTop="1"/>
  </sheetData>
  <sheetProtection algorithmName="SHA-512" hashValue="tzlFcJ9Kahw+V4R7SfgztVVtokBoRg3D6MG/i5ZaiQN6Tp61I5wjXqeWuMQXwCpCamMqfk7Wp0gKW/80bvcbfw==" saltValue="lBHgKrg5DOSi78hxFkzxUQ==" spinCount="100000" sheet="1" selectLockedCells="1"/>
  <customSheetViews>
    <customSheetView guid="{E1D23BD2-FE11-448B-A102-D2461140BE5A}" fitToPage="1">
      <selection activeCell="J11" sqref="J11:J16"/>
      <rowBreaks count="11" manualBreakCount="11">
        <brk id="45" max="16383" man="1"/>
        <brk id="92" max="16383" man="1"/>
        <brk id="152" max="16383" man="1"/>
        <brk id="192" max="16383" man="1"/>
        <brk id="262" max="16383" man="1"/>
        <brk id="295" max="16383" man="1"/>
        <brk id="329" max="16383" man="1"/>
        <brk id="371" max="16383" man="1"/>
        <brk id="415" max="16383" man="1"/>
        <brk id="459" max="16383" man="1"/>
        <brk id="505" max="16383" man="1"/>
      </rowBreaks>
      <pageMargins left="0.5" right="0.5" top="1" bottom="0.75" header="0.25" footer="0.25"/>
      <printOptions horizontalCentered="1"/>
      <pageSetup scale="59" fitToHeight="0" orientation="portrait" r:id="rId1"/>
      <headerFooter>
        <oddHeader>&amp;L&amp;"Arial,Regular"&amp;8Texas Department of Aging
and Disability Services&amp;C&amp;"Arial,Bold"&amp;12ADULT FOSTER CARE
 MONITORING WORKBOOK&amp;R&amp;"Arial,Regular"&amp;8Form TBD
Page &amp;P</oddHeader>
      </headerFooter>
    </customSheetView>
    <customSheetView guid="{B71FF06E-B5A8-4FBF-B20E-2B604DE9BFBD}" fitToPage="1">
      <selection activeCell="B4" sqref="B4"/>
      <rowBreaks count="11" manualBreakCount="11">
        <brk id="45" max="16383" man="1"/>
        <brk id="92" max="16383" man="1"/>
        <brk id="152" max="16383" man="1"/>
        <brk id="192" max="16383" man="1"/>
        <brk id="262" max="16383" man="1"/>
        <brk id="295" max="16383" man="1"/>
        <brk id="329" max="16383" man="1"/>
        <brk id="371" max="16383" man="1"/>
        <brk id="415" max="16383" man="1"/>
        <brk id="459" max="16383" man="1"/>
        <brk id="505" max="16383" man="1"/>
      </rowBreaks>
      <pageMargins left="0.5" right="0.5" top="1" bottom="0.75" header="0.25" footer="0.25"/>
      <printOptions horizontalCentered="1"/>
      <pageSetup scale="59" fitToHeight="0" orientation="portrait" r:id="rId2"/>
      <headerFooter>
        <oddHeader>&amp;L&amp;"Arial,Regular"&amp;8Texas Department of Aging
and Disability Services&amp;C&amp;"Arial,Bold"&amp;12ADULT FOSTER CARE
 MONITORING WORKBOOK&amp;R&amp;"Arial,Regular"&amp;8Form TBD
Page &amp;P</oddHeader>
      </headerFooter>
    </customSheetView>
  </customSheetViews>
  <mergeCells count="905">
    <mergeCell ref="E302:F302"/>
    <mergeCell ref="E324:F324"/>
    <mergeCell ref="B167:F167"/>
    <mergeCell ref="A155:E157"/>
    <mergeCell ref="F159:J166"/>
    <mergeCell ref="A152:F152"/>
    <mergeCell ref="A191:H191"/>
    <mergeCell ref="A199:J199"/>
    <mergeCell ref="A200:J200"/>
    <mergeCell ref="A194:H196"/>
    <mergeCell ref="B218:H219"/>
    <mergeCell ref="G187:I187"/>
    <mergeCell ref="G185:I186"/>
    <mergeCell ref="J185:J186"/>
    <mergeCell ref="E190:F190"/>
    <mergeCell ref="A190:D190"/>
    <mergeCell ref="B198:J198"/>
    <mergeCell ref="A192:J192"/>
    <mergeCell ref="H311:J311"/>
    <mergeCell ref="B312:C312"/>
    <mergeCell ref="E312:F312"/>
    <mergeCell ref="A217:A219"/>
    <mergeCell ref="I218:J219"/>
    <mergeCell ref="I191:J191"/>
    <mergeCell ref="B24:I25"/>
    <mergeCell ref="A24:A25"/>
    <mergeCell ref="J18:J25"/>
    <mergeCell ref="A26:I26"/>
    <mergeCell ref="J27:J29"/>
    <mergeCell ref="A27:I27"/>
    <mergeCell ref="A28:A29"/>
    <mergeCell ref="B28:I29"/>
    <mergeCell ref="B151:F151"/>
    <mergeCell ref="B36:I36"/>
    <mergeCell ref="B43:I43"/>
    <mergeCell ref="I119:J119"/>
    <mergeCell ref="G120:H120"/>
    <mergeCell ref="I120:J120"/>
    <mergeCell ref="A121:E124"/>
    <mergeCell ref="I123:J124"/>
    <mergeCell ref="A125:E132"/>
    <mergeCell ref="F125:J132"/>
    <mergeCell ref="A133:A134"/>
    <mergeCell ref="B133:F134"/>
    <mergeCell ref="G133:H133"/>
    <mergeCell ref="I133:J133"/>
    <mergeCell ref="G134:H134"/>
    <mergeCell ref="I134:J134"/>
    <mergeCell ref="H304:J304"/>
    <mergeCell ref="H305:J305"/>
    <mergeCell ref="H306:J306"/>
    <mergeCell ref="I331:J331"/>
    <mergeCell ref="H320:J320"/>
    <mergeCell ref="A333:G333"/>
    <mergeCell ref="A330:J330"/>
    <mergeCell ref="H312:J312"/>
    <mergeCell ref="H314:J314"/>
    <mergeCell ref="H317:J317"/>
    <mergeCell ref="H318:J318"/>
    <mergeCell ref="H319:J319"/>
    <mergeCell ref="I333:J333"/>
    <mergeCell ref="B328:C328"/>
    <mergeCell ref="A329:G329"/>
    <mergeCell ref="H329:J329"/>
    <mergeCell ref="E327:F327"/>
    <mergeCell ref="E328:F328"/>
    <mergeCell ref="B327:C327"/>
    <mergeCell ref="B302:C302"/>
    <mergeCell ref="B303:C303"/>
    <mergeCell ref="B304:C304"/>
    <mergeCell ref="B305:C305"/>
    <mergeCell ref="E319:F319"/>
    <mergeCell ref="H315:J315"/>
    <mergeCell ref="H316:J316"/>
    <mergeCell ref="E305:F305"/>
    <mergeCell ref="E306:F306"/>
    <mergeCell ref="E307:F307"/>
    <mergeCell ref="H302:J302"/>
    <mergeCell ref="B313:C313"/>
    <mergeCell ref="E313:F313"/>
    <mergeCell ref="H313:J313"/>
    <mergeCell ref="B314:C314"/>
    <mergeCell ref="E314:F314"/>
    <mergeCell ref="B310:C310"/>
    <mergeCell ref="E310:F310"/>
    <mergeCell ref="H310:J310"/>
    <mergeCell ref="B311:C311"/>
    <mergeCell ref="E311:F311"/>
    <mergeCell ref="E303:F303"/>
    <mergeCell ref="E304:F304"/>
    <mergeCell ref="H303:J303"/>
    <mergeCell ref="G188:I190"/>
    <mergeCell ref="J188:J190"/>
    <mergeCell ref="D185:E185"/>
    <mergeCell ref="D186:E186"/>
    <mergeCell ref="D187:E187"/>
    <mergeCell ref="D188:E188"/>
    <mergeCell ref="D249:E249"/>
    <mergeCell ref="A197:A198"/>
    <mergeCell ref="I193:J196"/>
    <mergeCell ref="A201:E202"/>
    <mergeCell ref="A203:E205"/>
    <mergeCell ref="A193:H193"/>
    <mergeCell ref="D189:E189"/>
    <mergeCell ref="A216:J216"/>
    <mergeCell ref="B213:F213"/>
    <mergeCell ref="I217:J217"/>
    <mergeCell ref="I203:J204"/>
    <mergeCell ref="F205:J212"/>
    <mergeCell ref="B217:H217"/>
    <mergeCell ref="A214:F215"/>
    <mergeCell ref="G213:H213"/>
    <mergeCell ref="I213:J213"/>
    <mergeCell ref="G214:H215"/>
    <mergeCell ref="I214:J215"/>
    <mergeCell ref="I359:J360"/>
    <mergeCell ref="F361:J368"/>
    <mergeCell ref="B369:F369"/>
    <mergeCell ref="A356:J356"/>
    <mergeCell ref="A355:J355"/>
    <mergeCell ref="I345:J345"/>
    <mergeCell ref="I347:J352"/>
    <mergeCell ref="I222:J223"/>
    <mergeCell ref="I168:J168"/>
    <mergeCell ref="B168:F168"/>
    <mergeCell ref="B222:H223"/>
    <mergeCell ref="H322:J322"/>
    <mergeCell ref="H323:J323"/>
    <mergeCell ref="H324:J324"/>
    <mergeCell ref="B322:C322"/>
    <mergeCell ref="B323:C323"/>
    <mergeCell ref="H321:J321"/>
    <mergeCell ref="A206:E212"/>
    <mergeCell ref="B197:J197"/>
    <mergeCell ref="A185:B185"/>
    <mergeCell ref="A186:B186"/>
    <mergeCell ref="A187:B187"/>
    <mergeCell ref="A188:B188"/>
    <mergeCell ref="A189:B189"/>
    <mergeCell ref="A348:H352"/>
    <mergeCell ref="I341:J341"/>
    <mergeCell ref="I344:J344"/>
    <mergeCell ref="A344:G344"/>
    <mergeCell ref="A345:G345"/>
    <mergeCell ref="H335:H336"/>
    <mergeCell ref="A332:G332"/>
    <mergeCell ref="F331:G331"/>
    <mergeCell ref="I339:J339"/>
    <mergeCell ref="A339:G339"/>
    <mergeCell ref="A342:F342"/>
    <mergeCell ref="I342:J342"/>
    <mergeCell ref="A338:F338"/>
    <mergeCell ref="A331:E331"/>
    <mergeCell ref="A347:H347"/>
    <mergeCell ref="I338:J338"/>
    <mergeCell ref="I335:J336"/>
    <mergeCell ref="A337:F337"/>
    <mergeCell ref="I337:J337"/>
    <mergeCell ref="I334:J334"/>
    <mergeCell ref="G370:H371"/>
    <mergeCell ref="K295:L295"/>
    <mergeCell ref="A276:B276"/>
    <mergeCell ref="I343:J343"/>
    <mergeCell ref="A346:J346"/>
    <mergeCell ref="A353:A354"/>
    <mergeCell ref="A341:G341"/>
    <mergeCell ref="G369:H369"/>
    <mergeCell ref="A357:E359"/>
    <mergeCell ref="A340:G340"/>
    <mergeCell ref="I340:J340"/>
    <mergeCell ref="A360:E362"/>
    <mergeCell ref="A363:E368"/>
    <mergeCell ref="B306:C306"/>
    <mergeCell ref="B307:C307"/>
    <mergeCell ref="E323:F323"/>
    <mergeCell ref="H300:J300"/>
    <mergeCell ref="H301:J301"/>
    <mergeCell ref="I369:J369"/>
    <mergeCell ref="I332:J332"/>
    <mergeCell ref="E325:F325"/>
    <mergeCell ref="E326:F326"/>
    <mergeCell ref="H325:J325"/>
    <mergeCell ref="E301:F301"/>
    <mergeCell ref="H299:J299"/>
    <mergeCell ref="E298:F298"/>
    <mergeCell ref="G233:H233"/>
    <mergeCell ref="I233:J233"/>
    <mergeCell ref="G234:H234"/>
    <mergeCell ref="I234:J234"/>
    <mergeCell ref="B241:C241"/>
    <mergeCell ref="D241:E241"/>
    <mergeCell ref="G235:H235"/>
    <mergeCell ref="I235:J235"/>
    <mergeCell ref="G236:H236"/>
    <mergeCell ref="I236:J236"/>
    <mergeCell ref="G237:H237"/>
    <mergeCell ref="I237:J237"/>
    <mergeCell ref="G238:H238"/>
    <mergeCell ref="I238:J238"/>
    <mergeCell ref="G239:H239"/>
    <mergeCell ref="I239:J239"/>
    <mergeCell ref="G240:H240"/>
    <mergeCell ref="C293:D293"/>
    <mergeCell ref="D237:E237"/>
    <mergeCell ref="D242:E242"/>
    <mergeCell ref="D251:E251"/>
    <mergeCell ref="C276:D276"/>
    <mergeCell ref="A277:B277"/>
    <mergeCell ref="A278:B278"/>
    <mergeCell ref="A279:B279"/>
    <mergeCell ref="B252:C252"/>
    <mergeCell ref="E276:F276"/>
    <mergeCell ref="E282:F282"/>
    <mergeCell ref="C288:D288"/>
    <mergeCell ref="C282:D282"/>
    <mergeCell ref="A280:B280"/>
    <mergeCell ref="C277:D277"/>
    <mergeCell ref="C278:D278"/>
    <mergeCell ref="A281:B281"/>
    <mergeCell ref="A282:B282"/>
    <mergeCell ref="C287:D287"/>
    <mergeCell ref="A286:B286"/>
    <mergeCell ref="C279:D279"/>
    <mergeCell ref="D255:E255"/>
    <mergeCell ref="D259:E259"/>
    <mergeCell ref="B260:C260"/>
    <mergeCell ref="D260:E260"/>
    <mergeCell ref="B261:C261"/>
    <mergeCell ref="D261:E261"/>
    <mergeCell ref="C271:D271"/>
    <mergeCell ref="C274:D274"/>
    <mergeCell ref="C292:D292"/>
    <mergeCell ref="A287:B287"/>
    <mergeCell ref="A283:B283"/>
    <mergeCell ref="A272:B272"/>
    <mergeCell ref="H298:J298"/>
    <mergeCell ref="B299:C299"/>
    <mergeCell ref="B300:C300"/>
    <mergeCell ref="B301:C301"/>
    <mergeCell ref="A296:J296"/>
    <mergeCell ref="A297:J297"/>
    <mergeCell ref="B298:C298"/>
    <mergeCell ref="E299:F299"/>
    <mergeCell ref="E300:F300"/>
    <mergeCell ref="C289:D289"/>
    <mergeCell ref="C290:D290"/>
    <mergeCell ref="C283:D283"/>
    <mergeCell ref="C284:D284"/>
    <mergeCell ref="C285:D285"/>
    <mergeCell ref="G276:H276"/>
    <mergeCell ref="E293:F293"/>
    <mergeCell ref="G293:H293"/>
    <mergeCell ref="E294:F294"/>
    <mergeCell ref="G294:H294"/>
    <mergeCell ref="I292:J292"/>
    <mergeCell ref="B119:F120"/>
    <mergeCell ref="G119:H119"/>
    <mergeCell ref="I1:J1"/>
    <mergeCell ref="I2:J2"/>
    <mergeCell ref="G1:H1"/>
    <mergeCell ref="G2:H2"/>
    <mergeCell ref="A1:F1"/>
    <mergeCell ref="A2:F2"/>
    <mergeCell ref="A6:B6"/>
    <mergeCell ref="C6:E6"/>
    <mergeCell ref="C3:D3"/>
    <mergeCell ref="C4:D4"/>
    <mergeCell ref="C5:D5"/>
    <mergeCell ref="E3:F3"/>
    <mergeCell ref="E4:F4"/>
    <mergeCell ref="E5:F5"/>
    <mergeCell ref="G3:H3"/>
    <mergeCell ref="G4:H4"/>
    <mergeCell ref="I3:J3"/>
    <mergeCell ref="G5:H5"/>
    <mergeCell ref="A3:B3"/>
    <mergeCell ref="F6:J7"/>
    <mergeCell ref="C7:E7"/>
    <mergeCell ref="A7:B7"/>
    <mergeCell ref="A171:A174"/>
    <mergeCell ref="I171:J172"/>
    <mergeCell ref="I173:J174"/>
    <mergeCell ref="B171:H171"/>
    <mergeCell ref="B172:H172"/>
    <mergeCell ref="B173:H173"/>
    <mergeCell ref="B174:H174"/>
    <mergeCell ref="A97:E104"/>
    <mergeCell ref="D182:E182"/>
    <mergeCell ref="A167:A168"/>
    <mergeCell ref="G167:H167"/>
    <mergeCell ref="A169:J169"/>
    <mergeCell ref="A170:J170"/>
    <mergeCell ref="A175:J175"/>
    <mergeCell ref="A176:J176"/>
    <mergeCell ref="A177:J177"/>
    <mergeCell ref="A178:J178"/>
    <mergeCell ref="I167:J167"/>
    <mergeCell ref="G168:H168"/>
    <mergeCell ref="A179:J179"/>
    <mergeCell ref="A158:E159"/>
    <mergeCell ref="A160:E166"/>
    <mergeCell ref="A139:E142"/>
    <mergeCell ref="A180:J180"/>
    <mergeCell ref="D184:E184"/>
    <mergeCell ref="G182:J182"/>
    <mergeCell ref="G183:I183"/>
    <mergeCell ref="G184:I184"/>
    <mergeCell ref="A182:B182"/>
    <mergeCell ref="A183:B183"/>
    <mergeCell ref="A184:B184"/>
    <mergeCell ref="D183:E183"/>
    <mergeCell ref="A181:D181"/>
    <mergeCell ref="E181:J181"/>
    <mergeCell ref="A21:I21"/>
    <mergeCell ref="A22:I22"/>
    <mergeCell ref="A47:E48"/>
    <mergeCell ref="G92:H92"/>
    <mergeCell ref="A77:J77"/>
    <mergeCell ref="A30:I30"/>
    <mergeCell ref="A31:I31"/>
    <mergeCell ref="J31:J36"/>
    <mergeCell ref="A32:I32"/>
    <mergeCell ref="A35:I35"/>
    <mergeCell ref="A23:I23"/>
    <mergeCell ref="A46:J46"/>
    <mergeCell ref="B44:F44"/>
    <mergeCell ref="A45:F45"/>
    <mergeCell ref="G45:H45"/>
    <mergeCell ref="G44:H44"/>
    <mergeCell ref="I44:J44"/>
    <mergeCell ref="A33:I33"/>
    <mergeCell ref="A34:I34"/>
    <mergeCell ref="I76:J76"/>
    <mergeCell ref="I45:J45"/>
    <mergeCell ref="A54:E58"/>
    <mergeCell ref="F51:J58"/>
    <mergeCell ref="G73:H73"/>
    <mergeCell ref="A8:J8"/>
    <mergeCell ref="A9:J9"/>
    <mergeCell ref="A10:I10"/>
    <mergeCell ref="A15:I15"/>
    <mergeCell ref="A18:I18"/>
    <mergeCell ref="A19:I19"/>
    <mergeCell ref="A20:I20"/>
    <mergeCell ref="A12:I12"/>
    <mergeCell ref="A11:I11"/>
    <mergeCell ref="A17:I17"/>
    <mergeCell ref="A13:I13"/>
    <mergeCell ref="A14:I14"/>
    <mergeCell ref="J11:J16"/>
    <mergeCell ref="B16:I16"/>
    <mergeCell ref="A370:F371"/>
    <mergeCell ref="B308:C308"/>
    <mergeCell ref="B309:C309"/>
    <mergeCell ref="B315:C315"/>
    <mergeCell ref="B316:C316"/>
    <mergeCell ref="B317:C317"/>
    <mergeCell ref="B318:C318"/>
    <mergeCell ref="B319:C319"/>
    <mergeCell ref="B320:C320"/>
    <mergeCell ref="B321:C321"/>
    <mergeCell ref="A335:E335"/>
    <mergeCell ref="F335:G335"/>
    <mergeCell ref="A334:F334"/>
    <mergeCell ref="A336:G336"/>
    <mergeCell ref="B326:C326"/>
    <mergeCell ref="E320:F320"/>
    <mergeCell ref="E321:F321"/>
    <mergeCell ref="E322:F322"/>
    <mergeCell ref="A343:F343"/>
    <mergeCell ref="E308:F308"/>
    <mergeCell ref="E309:F309"/>
    <mergeCell ref="E315:F315"/>
    <mergeCell ref="B324:C324"/>
    <mergeCell ref="B325:C325"/>
    <mergeCell ref="I157:J158"/>
    <mergeCell ref="G136:H136"/>
    <mergeCell ref="I136:J136"/>
    <mergeCell ref="A135:F136"/>
    <mergeCell ref="A91:A92"/>
    <mergeCell ref="A143:E150"/>
    <mergeCell ref="A137:J137"/>
    <mergeCell ref="A138:J138"/>
    <mergeCell ref="I135:J135"/>
    <mergeCell ref="G135:H135"/>
    <mergeCell ref="B105:F106"/>
    <mergeCell ref="G105:H105"/>
    <mergeCell ref="I105:J105"/>
    <mergeCell ref="I151:J151"/>
    <mergeCell ref="G152:H152"/>
    <mergeCell ref="I152:J152"/>
    <mergeCell ref="G151:H151"/>
    <mergeCell ref="A153:J153"/>
    <mergeCell ref="A154:J154"/>
    <mergeCell ref="A107:E110"/>
    <mergeCell ref="I109:J110"/>
    <mergeCell ref="A111:E118"/>
    <mergeCell ref="F111:J118"/>
    <mergeCell ref="A119:A120"/>
    <mergeCell ref="G476:H477"/>
    <mergeCell ref="B400:F401"/>
    <mergeCell ref="G400:H400"/>
    <mergeCell ref="I387:J387"/>
    <mergeCell ref="I386:J386"/>
    <mergeCell ref="F378:J385"/>
    <mergeCell ref="A49:E51"/>
    <mergeCell ref="A78:J78"/>
    <mergeCell ref="H307:J307"/>
    <mergeCell ref="H326:J326"/>
    <mergeCell ref="H327:J327"/>
    <mergeCell ref="H328:J328"/>
    <mergeCell ref="E316:F316"/>
    <mergeCell ref="E317:F317"/>
    <mergeCell ref="E318:F318"/>
    <mergeCell ref="A294:B294"/>
    <mergeCell ref="B235:C235"/>
    <mergeCell ref="D235:E235"/>
    <mergeCell ref="B236:C236"/>
    <mergeCell ref="D239:E239"/>
    <mergeCell ref="C272:D272"/>
    <mergeCell ref="B240:C240"/>
    <mergeCell ref="D240:E240"/>
    <mergeCell ref="C273:D273"/>
    <mergeCell ref="A395:E399"/>
    <mergeCell ref="G518:H518"/>
    <mergeCell ref="G519:H519"/>
    <mergeCell ref="A504:A505"/>
    <mergeCell ref="B504:F505"/>
    <mergeCell ref="G504:H504"/>
    <mergeCell ref="I504:J504"/>
    <mergeCell ref="G505:H505"/>
    <mergeCell ref="I505:J505"/>
    <mergeCell ref="A461:J461"/>
    <mergeCell ref="A464:E465"/>
    <mergeCell ref="A466:E467"/>
    <mergeCell ref="A468:E470"/>
    <mergeCell ref="A471:E473"/>
    <mergeCell ref="G474:H475"/>
    <mergeCell ref="A462:E463"/>
    <mergeCell ref="A518:A519"/>
    <mergeCell ref="B518:F519"/>
    <mergeCell ref="I494:J495"/>
    <mergeCell ref="F496:J503"/>
    <mergeCell ref="I508:J509"/>
    <mergeCell ref="F510:J517"/>
    <mergeCell ref="I476:J477"/>
    <mergeCell ref="I474:J475"/>
    <mergeCell ref="A520:F521"/>
    <mergeCell ref="I370:J371"/>
    <mergeCell ref="H308:J308"/>
    <mergeCell ref="H309:J309"/>
    <mergeCell ref="F392:J399"/>
    <mergeCell ref="I401:J401"/>
    <mergeCell ref="G429:H429"/>
    <mergeCell ref="A400:A401"/>
    <mergeCell ref="A402:E403"/>
    <mergeCell ref="A456:A457"/>
    <mergeCell ref="I400:J400"/>
    <mergeCell ref="G401:H401"/>
    <mergeCell ref="A388:E389"/>
    <mergeCell ref="A390:E394"/>
    <mergeCell ref="I390:J391"/>
    <mergeCell ref="A372:J372"/>
    <mergeCell ref="A373:J373"/>
    <mergeCell ref="A386:A387"/>
    <mergeCell ref="B386:F387"/>
    <mergeCell ref="G386:H386"/>
    <mergeCell ref="G387:H387"/>
    <mergeCell ref="A374:E377"/>
    <mergeCell ref="A378:E380"/>
    <mergeCell ref="A381:E385"/>
    <mergeCell ref="G241:H241"/>
    <mergeCell ref="I241:J241"/>
    <mergeCell ref="D245:E245"/>
    <mergeCell ref="B246:C246"/>
    <mergeCell ref="D246:E246"/>
    <mergeCell ref="I240:J240"/>
    <mergeCell ref="I521:J521"/>
    <mergeCell ref="I520:J520"/>
    <mergeCell ref="I519:J519"/>
    <mergeCell ref="I518:J518"/>
    <mergeCell ref="I458:J458"/>
    <mergeCell ref="I459:J459"/>
    <mergeCell ref="G520:H520"/>
    <mergeCell ref="G521:H521"/>
    <mergeCell ref="A409:E413"/>
    <mergeCell ref="A414:A415"/>
    <mergeCell ref="B414:F415"/>
    <mergeCell ref="G414:H414"/>
    <mergeCell ref="A416:E417"/>
    <mergeCell ref="A418:E422"/>
    <mergeCell ref="A423:E427"/>
    <mergeCell ref="A428:A429"/>
    <mergeCell ref="G415:H415"/>
    <mergeCell ref="A478:E480"/>
    <mergeCell ref="A220:A223"/>
    <mergeCell ref="B220:H220"/>
    <mergeCell ref="I220:J221"/>
    <mergeCell ref="A229:O229"/>
    <mergeCell ref="G231:H231"/>
    <mergeCell ref="L231:M231"/>
    <mergeCell ref="N231:O231"/>
    <mergeCell ref="L232:M232"/>
    <mergeCell ref="N232:O232"/>
    <mergeCell ref="D231:E231"/>
    <mergeCell ref="B231:C231"/>
    <mergeCell ref="B232:C232"/>
    <mergeCell ref="D232:E232"/>
    <mergeCell ref="I231:J231"/>
    <mergeCell ref="G232:H232"/>
    <mergeCell ref="I232:J232"/>
    <mergeCell ref="A230:O230"/>
    <mergeCell ref="A228:J228"/>
    <mergeCell ref="C275:D275"/>
    <mergeCell ref="A273:B273"/>
    <mergeCell ref="C265:D265"/>
    <mergeCell ref="C266:D266"/>
    <mergeCell ref="A271:B271"/>
    <mergeCell ref="C267:D267"/>
    <mergeCell ref="C268:D268"/>
    <mergeCell ref="A274:B274"/>
    <mergeCell ref="A275:B275"/>
    <mergeCell ref="N233:O233"/>
    <mergeCell ref="L234:M234"/>
    <mergeCell ref="N234:O234"/>
    <mergeCell ref="L235:M235"/>
    <mergeCell ref="N235:O235"/>
    <mergeCell ref="L236:M236"/>
    <mergeCell ref="G252:H252"/>
    <mergeCell ref="G257:H257"/>
    <mergeCell ref="E264:F264"/>
    <mergeCell ref="G264:H264"/>
    <mergeCell ref="L233:M233"/>
    <mergeCell ref="D247:E247"/>
    <mergeCell ref="L241:M241"/>
    <mergeCell ref="D250:E250"/>
    <mergeCell ref="I253:J253"/>
    <mergeCell ref="I254:J254"/>
    <mergeCell ref="I255:J255"/>
    <mergeCell ref="G256:H256"/>
    <mergeCell ref="I256:J256"/>
    <mergeCell ref="G255:H255"/>
    <mergeCell ref="N236:O236"/>
    <mergeCell ref="L237:M237"/>
    <mergeCell ref="N237:O237"/>
    <mergeCell ref="L238:M238"/>
    <mergeCell ref="B248:C248"/>
    <mergeCell ref="D248:E248"/>
    <mergeCell ref="B242:C242"/>
    <mergeCell ref="B233:C233"/>
    <mergeCell ref="D233:E233"/>
    <mergeCell ref="B234:C234"/>
    <mergeCell ref="D234:E234"/>
    <mergeCell ref="B243:C243"/>
    <mergeCell ref="D243:E243"/>
    <mergeCell ref="B238:C238"/>
    <mergeCell ref="D238:E238"/>
    <mergeCell ref="B239:C239"/>
    <mergeCell ref="D236:E236"/>
    <mergeCell ref="B237:C237"/>
    <mergeCell ref="B244:C244"/>
    <mergeCell ref="D244:E244"/>
    <mergeCell ref="B245:C245"/>
    <mergeCell ref="B247:C247"/>
    <mergeCell ref="B251:C251"/>
    <mergeCell ref="D254:E254"/>
    <mergeCell ref="B255:C255"/>
    <mergeCell ref="A288:B288"/>
    <mergeCell ref="G250:H250"/>
    <mergeCell ref="D252:E252"/>
    <mergeCell ref="A284:B284"/>
    <mergeCell ref="A285:B285"/>
    <mergeCell ref="C280:D280"/>
    <mergeCell ref="C281:D281"/>
    <mergeCell ref="D258:E258"/>
    <mergeCell ref="B253:C253"/>
    <mergeCell ref="D253:E253"/>
    <mergeCell ref="B254:C254"/>
    <mergeCell ref="E265:F265"/>
    <mergeCell ref="E270:F270"/>
    <mergeCell ref="E275:F275"/>
    <mergeCell ref="E280:F280"/>
    <mergeCell ref="E285:F285"/>
    <mergeCell ref="B256:C256"/>
    <mergeCell ref="D256:E256"/>
    <mergeCell ref="B257:C257"/>
    <mergeCell ref="D257:E257"/>
    <mergeCell ref="G254:H254"/>
    <mergeCell ref="G490:H490"/>
    <mergeCell ref="I490:J490"/>
    <mergeCell ref="G491:H491"/>
    <mergeCell ref="I491:J491"/>
    <mergeCell ref="A474:F475"/>
    <mergeCell ref="A295:J295"/>
    <mergeCell ref="B249:C249"/>
    <mergeCell ref="A265:B265"/>
    <mergeCell ref="A264:B264"/>
    <mergeCell ref="A266:B266"/>
    <mergeCell ref="A267:B267"/>
    <mergeCell ref="A268:B268"/>
    <mergeCell ref="A269:B269"/>
    <mergeCell ref="A270:B270"/>
    <mergeCell ref="B259:C259"/>
    <mergeCell ref="C294:D294"/>
    <mergeCell ref="A292:B292"/>
    <mergeCell ref="A293:B293"/>
    <mergeCell ref="C291:D291"/>
    <mergeCell ref="A289:B289"/>
    <mergeCell ref="A290:B290"/>
    <mergeCell ref="A291:B291"/>
    <mergeCell ref="C286:D286"/>
    <mergeCell ref="B250:C250"/>
    <mergeCell ref="A514:E517"/>
    <mergeCell ref="A511:E513"/>
    <mergeCell ref="A506:E510"/>
    <mergeCell ref="A451:E455"/>
    <mergeCell ref="A448:E450"/>
    <mergeCell ref="A444:E447"/>
    <mergeCell ref="A437:E441"/>
    <mergeCell ref="A432:E436"/>
    <mergeCell ref="A430:E431"/>
    <mergeCell ref="A490:A491"/>
    <mergeCell ref="B490:F491"/>
    <mergeCell ref="A476:F477"/>
    <mergeCell ref="A481:E483"/>
    <mergeCell ref="A484:E489"/>
    <mergeCell ref="A492:E496"/>
    <mergeCell ref="A497:E499"/>
    <mergeCell ref="A500:E503"/>
    <mergeCell ref="I376:J377"/>
    <mergeCell ref="I480:J481"/>
    <mergeCell ref="F482:J489"/>
    <mergeCell ref="G242:H242"/>
    <mergeCell ref="I242:J242"/>
    <mergeCell ref="G243:H243"/>
    <mergeCell ref="I243:J243"/>
    <mergeCell ref="G244:H244"/>
    <mergeCell ref="I244:J244"/>
    <mergeCell ref="G245:H245"/>
    <mergeCell ref="I245:J245"/>
    <mergeCell ref="G246:H246"/>
    <mergeCell ref="I246:J246"/>
    <mergeCell ref="G247:H247"/>
    <mergeCell ref="I247:J247"/>
    <mergeCell ref="G248:H248"/>
    <mergeCell ref="I248:J248"/>
    <mergeCell ref="G249:H249"/>
    <mergeCell ref="I249:J249"/>
    <mergeCell ref="I250:J250"/>
    <mergeCell ref="G251:H251"/>
    <mergeCell ref="I251:J251"/>
    <mergeCell ref="I252:J252"/>
    <mergeCell ref="G253:H253"/>
    <mergeCell ref="N238:O238"/>
    <mergeCell ref="L239:M239"/>
    <mergeCell ref="N239:O239"/>
    <mergeCell ref="L240:M240"/>
    <mergeCell ref="N240:O240"/>
    <mergeCell ref="N241:O241"/>
    <mergeCell ref="L242:M242"/>
    <mergeCell ref="N242:O242"/>
    <mergeCell ref="L243:M243"/>
    <mergeCell ref="N243:O243"/>
    <mergeCell ref="L244:M244"/>
    <mergeCell ref="N244:O244"/>
    <mergeCell ref="L251:M251"/>
    <mergeCell ref="N251:O251"/>
    <mergeCell ref="L245:M245"/>
    <mergeCell ref="N245:O245"/>
    <mergeCell ref="L246:M246"/>
    <mergeCell ref="N246:O246"/>
    <mergeCell ref="L247:M247"/>
    <mergeCell ref="N247:O247"/>
    <mergeCell ref="L248:M248"/>
    <mergeCell ref="N248:O248"/>
    <mergeCell ref="L249:M249"/>
    <mergeCell ref="N249:O249"/>
    <mergeCell ref="L250:M250"/>
    <mergeCell ref="N250:O250"/>
    <mergeCell ref="I264:J264"/>
    <mergeCell ref="K264:L264"/>
    <mergeCell ref="A263:L263"/>
    <mergeCell ref="L255:M255"/>
    <mergeCell ref="N255:O255"/>
    <mergeCell ref="L256:M256"/>
    <mergeCell ref="N256:O256"/>
    <mergeCell ref="L257:M257"/>
    <mergeCell ref="N257:O257"/>
    <mergeCell ref="L258:M258"/>
    <mergeCell ref="N258:O258"/>
    <mergeCell ref="L259:M259"/>
    <mergeCell ref="N259:O259"/>
    <mergeCell ref="I257:J257"/>
    <mergeCell ref="G258:H258"/>
    <mergeCell ref="I258:J258"/>
    <mergeCell ref="G259:H259"/>
    <mergeCell ref="I259:J259"/>
    <mergeCell ref="G260:H260"/>
    <mergeCell ref="I260:J260"/>
    <mergeCell ref="G261:H261"/>
    <mergeCell ref="I261:J261"/>
    <mergeCell ref="C264:D264"/>
    <mergeCell ref="B258:C258"/>
    <mergeCell ref="L252:M252"/>
    <mergeCell ref="N252:O252"/>
    <mergeCell ref="L253:M253"/>
    <mergeCell ref="N253:O253"/>
    <mergeCell ref="L254:M254"/>
    <mergeCell ref="N254:O254"/>
    <mergeCell ref="E277:F277"/>
    <mergeCell ref="G277:H277"/>
    <mergeCell ref="E278:F278"/>
    <mergeCell ref="L260:M260"/>
    <mergeCell ref="N260:O260"/>
    <mergeCell ref="L261:M261"/>
    <mergeCell ref="N261:O261"/>
    <mergeCell ref="N262:O262"/>
    <mergeCell ref="A262:M262"/>
    <mergeCell ref="C269:D269"/>
    <mergeCell ref="C270:D270"/>
    <mergeCell ref="G271:H271"/>
    <mergeCell ref="E272:F272"/>
    <mergeCell ref="G272:H272"/>
    <mergeCell ref="E273:F273"/>
    <mergeCell ref="G273:H273"/>
    <mergeCell ref="E274:F274"/>
    <mergeCell ref="G274:H274"/>
    <mergeCell ref="K265:L265"/>
    <mergeCell ref="I266:J266"/>
    <mergeCell ref="K266:L266"/>
    <mergeCell ref="I267:J267"/>
    <mergeCell ref="K267:L267"/>
    <mergeCell ref="I268:J268"/>
    <mergeCell ref="K268:L268"/>
    <mergeCell ref="I269:J269"/>
    <mergeCell ref="K269:L269"/>
    <mergeCell ref="I265:J265"/>
    <mergeCell ref="K270:L270"/>
    <mergeCell ref="I271:J271"/>
    <mergeCell ref="K271:L271"/>
    <mergeCell ref="I272:J272"/>
    <mergeCell ref="K272:L272"/>
    <mergeCell ref="I273:J273"/>
    <mergeCell ref="K273:L273"/>
    <mergeCell ref="I274:J274"/>
    <mergeCell ref="K274:L274"/>
    <mergeCell ref="I270:J270"/>
    <mergeCell ref="K275:L275"/>
    <mergeCell ref="I276:J276"/>
    <mergeCell ref="K276:L276"/>
    <mergeCell ref="I277:J277"/>
    <mergeCell ref="K277:L277"/>
    <mergeCell ref="I278:J278"/>
    <mergeCell ref="K278:L278"/>
    <mergeCell ref="I279:J279"/>
    <mergeCell ref="K279:L279"/>
    <mergeCell ref="I275:J275"/>
    <mergeCell ref="K280:L280"/>
    <mergeCell ref="I281:J281"/>
    <mergeCell ref="K281:L281"/>
    <mergeCell ref="I282:J282"/>
    <mergeCell ref="K282:L282"/>
    <mergeCell ref="I283:J283"/>
    <mergeCell ref="K283:L283"/>
    <mergeCell ref="I284:J284"/>
    <mergeCell ref="K284:L284"/>
    <mergeCell ref="I280:J280"/>
    <mergeCell ref="K285:L285"/>
    <mergeCell ref="I286:J286"/>
    <mergeCell ref="K286:L286"/>
    <mergeCell ref="K287:L287"/>
    <mergeCell ref="I288:J288"/>
    <mergeCell ref="K288:L288"/>
    <mergeCell ref="I289:J289"/>
    <mergeCell ref="K289:L289"/>
    <mergeCell ref="I285:J285"/>
    <mergeCell ref="K290:L290"/>
    <mergeCell ref="I291:J291"/>
    <mergeCell ref="K291:L291"/>
    <mergeCell ref="K292:L292"/>
    <mergeCell ref="I293:J293"/>
    <mergeCell ref="K293:L293"/>
    <mergeCell ref="I294:J294"/>
    <mergeCell ref="K294:L294"/>
    <mergeCell ref="A65:E67"/>
    <mergeCell ref="A68:E69"/>
    <mergeCell ref="A70:E72"/>
    <mergeCell ref="I92:J92"/>
    <mergeCell ref="A73:A74"/>
    <mergeCell ref="B73:F74"/>
    <mergeCell ref="I106:J106"/>
    <mergeCell ref="G279:H279"/>
    <mergeCell ref="G283:H283"/>
    <mergeCell ref="G280:H280"/>
    <mergeCell ref="E281:F281"/>
    <mergeCell ref="G281:H281"/>
    <mergeCell ref="E284:F284"/>
    <mergeCell ref="B221:H221"/>
    <mergeCell ref="G284:H284"/>
    <mergeCell ref="A227:J227"/>
    <mergeCell ref="E292:F292"/>
    <mergeCell ref="I287:J287"/>
    <mergeCell ref="B59:F60"/>
    <mergeCell ref="G59:H59"/>
    <mergeCell ref="I59:J59"/>
    <mergeCell ref="G60:H60"/>
    <mergeCell ref="I60:J60"/>
    <mergeCell ref="A61:E64"/>
    <mergeCell ref="A75:F76"/>
    <mergeCell ref="G75:H75"/>
    <mergeCell ref="I75:J75"/>
    <mergeCell ref="I73:J73"/>
    <mergeCell ref="G74:H74"/>
    <mergeCell ref="I74:J74"/>
    <mergeCell ref="G76:H76"/>
    <mergeCell ref="E279:F279"/>
    <mergeCell ref="A83:E90"/>
    <mergeCell ref="G292:H292"/>
    <mergeCell ref="E290:F290"/>
    <mergeCell ref="I290:J290"/>
    <mergeCell ref="G290:H290"/>
    <mergeCell ref="E291:F291"/>
    <mergeCell ref="G291:H291"/>
    <mergeCell ref="G270:H270"/>
    <mergeCell ref="I404:J405"/>
    <mergeCell ref="F406:J413"/>
    <mergeCell ref="I418:J419"/>
    <mergeCell ref="F420:J427"/>
    <mergeCell ref="I432:J433"/>
    <mergeCell ref="F434:J441"/>
    <mergeCell ref="I446:J447"/>
    <mergeCell ref="F448:J455"/>
    <mergeCell ref="I464:J465"/>
    <mergeCell ref="I414:J414"/>
    <mergeCell ref="I457:J457"/>
    <mergeCell ref="A458:F459"/>
    <mergeCell ref="I428:J428"/>
    <mergeCell ref="A442:A443"/>
    <mergeCell ref="B442:F443"/>
    <mergeCell ref="G442:H442"/>
    <mergeCell ref="I442:J442"/>
    <mergeCell ref="G443:H443"/>
    <mergeCell ref="I443:J443"/>
    <mergeCell ref="I429:J429"/>
    <mergeCell ref="B428:F429"/>
    <mergeCell ref="G428:H428"/>
    <mergeCell ref="G458:H458"/>
    <mergeCell ref="G459:H459"/>
    <mergeCell ref="A404:E408"/>
    <mergeCell ref="I415:J415"/>
    <mergeCell ref="B353:J354"/>
    <mergeCell ref="A224:J224"/>
    <mergeCell ref="A225:J225"/>
    <mergeCell ref="A226:J226"/>
    <mergeCell ref="G285:H285"/>
    <mergeCell ref="F466:J473"/>
    <mergeCell ref="B456:F457"/>
    <mergeCell ref="G456:H456"/>
    <mergeCell ref="A460:J460"/>
    <mergeCell ref="I456:J456"/>
    <mergeCell ref="G457:H457"/>
    <mergeCell ref="E283:F283"/>
    <mergeCell ref="G265:H265"/>
    <mergeCell ref="E266:F266"/>
    <mergeCell ref="G266:H266"/>
    <mergeCell ref="E267:F267"/>
    <mergeCell ref="G267:H267"/>
    <mergeCell ref="E268:F268"/>
    <mergeCell ref="G268:H268"/>
    <mergeCell ref="E269:F269"/>
    <mergeCell ref="G269:H269"/>
    <mergeCell ref="E271:F271"/>
    <mergeCell ref="A37:I37"/>
    <mergeCell ref="J38:J43"/>
    <mergeCell ref="A42:I42"/>
    <mergeCell ref="A38:I41"/>
    <mergeCell ref="G278:H278"/>
    <mergeCell ref="I49:J50"/>
    <mergeCell ref="I63:J64"/>
    <mergeCell ref="F65:J72"/>
    <mergeCell ref="I81:J82"/>
    <mergeCell ref="F83:J90"/>
    <mergeCell ref="I95:J96"/>
    <mergeCell ref="G275:H275"/>
    <mergeCell ref="F97:J104"/>
    <mergeCell ref="I141:J142"/>
    <mergeCell ref="F143:J150"/>
    <mergeCell ref="G106:H106"/>
    <mergeCell ref="B91:F92"/>
    <mergeCell ref="A93:E96"/>
    <mergeCell ref="A105:A106"/>
    <mergeCell ref="A52:E53"/>
    <mergeCell ref="G91:H91"/>
    <mergeCell ref="A59:A60"/>
    <mergeCell ref="I91:J91"/>
    <mergeCell ref="A79:E82"/>
    <mergeCell ref="G282:H282"/>
    <mergeCell ref="E286:F286"/>
    <mergeCell ref="G286:H286"/>
    <mergeCell ref="E287:F287"/>
    <mergeCell ref="G287:H287"/>
    <mergeCell ref="E288:F288"/>
    <mergeCell ref="G288:H288"/>
    <mergeCell ref="E289:F289"/>
    <mergeCell ref="G289:H289"/>
  </mergeCells>
  <conditionalFormatting sqref="F48:J48 F50:H50 F62:J62 F64:H64 F80:J80 F82:H82">
    <cfRule type="cellIs" dxfId="46" priority="372" operator="equal">
      <formula>"E"</formula>
    </cfRule>
  </conditionalFormatting>
  <conditionalFormatting sqref="F94:J94 F96:H96">
    <cfRule type="cellIs" dxfId="45" priority="21" operator="equal">
      <formula>"E"</formula>
    </cfRule>
  </conditionalFormatting>
  <conditionalFormatting sqref="F108:J108 F110:H110">
    <cfRule type="cellIs" dxfId="44" priority="1" operator="equal">
      <formula>"E"</formula>
    </cfRule>
  </conditionalFormatting>
  <conditionalFormatting sqref="F122:J122 F124:H124">
    <cfRule type="cellIs" dxfId="43" priority="2" operator="equal">
      <formula>"E"</formula>
    </cfRule>
  </conditionalFormatting>
  <conditionalFormatting sqref="F140:J140 F142:H142">
    <cfRule type="cellIs" dxfId="42" priority="20" operator="equal">
      <formula>"E"</formula>
    </cfRule>
  </conditionalFormatting>
  <conditionalFormatting sqref="F156:J156 F158:H158">
    <cfRule type="cellIs" dxfId="41" priority="19" operator="equal">
      <formula>"E"</formula>
    </cfRule>
  </conditionalFormatting>
  <conditionalFormatting sqref="F202:J202 F204:H204">
    <cfRule type="cellIs" dxfId="40" priority="18" operator="equal">
      <formula>"E"</formula>
    </cfRule>
  </conditionalFormatting>
  <conditionalFormatting sqref="F358:J358 F360:H360">
    <cfRule type="cellIs" dxfId="39" priority="14" operator="equal">
      <formula>"E"</formula>
    </cfRule>
  </conditionalFormatting>
  <conditionalFormatting sqref="F375:J375 F377:H377">
    <cfRule type="cellIs" dxfId="38" priority="13" operator="equal">
      <formula>"E"</formula>
    </cfRule>
  </conditionalFormatting>
  <conditionalFormatting sqref="F389:J389 F391:H391">
    <cfRule type="cellIs" dxfId="37" priority="12" operator="equal">
      <formula>"E"</formula>
    </cfRule>
  </conditionalFormatting>
  <conditionalFormatting sqref="F403:J403 F405:H405">
    <cfRule type="cellIs" dxfId="36" priority="11" operator="equal">
      <formula>"E"</formula>
    </cfRule>
  </conditionalFormatting>
  <conditionalFormatting sqref="F417:J417 F419:H419">
    <cfRule type="cellIs" dxfId="35" priority="10" operator="equal">
      <formula>"E"</formula>
    </cfRule>
  </conditionalFormatting>
  <conditionalFormatting sqref="F431:J431 F433:H433">
    <cfRule type="cellIs" dxfId="34" priority="9" operator="equal">
      <formula>"E"</formula>
    </cfRule>
  </conditionalFormatting>
  <conditionalFormatting sqref="F445:J445 F447:H447">
    <cfRule type="cellIs" dxfId="33" priority="8" operator="equal">
      <formula>"E"</formula>
    </cfRule>
  </conditionalFormatting>
  <conditionalFormatting sqref="F463:J463 F465:H465">
    <cfRule type="cellIs" dxfId="32" priority="7" operator="equal">
      <formula>"E"</formula>
    </cfRule>
  </conditionalFormatting>
  <conditionalFormatting sqref="F479:J479 F481:H481">
    <cfRule type="cellIs" dxfId="31" priority="6" operator="equal">
      <formula>"E"</formula>
    </cfRule>
  </conditionalFormatting>
  <conditionalFormatting sqref="F493:J493 F495:H495">
    <cfRule type="cellIs" dxfId="30" priority="5" operator="equal">
      <formula>"E"</formula>
    </cfRule>
  </conditionalFormatting>
  <conditionalFormatting sqref="F507:J507 F509:H509">
    <cfRule type="cellIs" dxfId="29" priority="4" operator="equal">
      <formula>"E"</formula>
    </cfRule>
  </conditionalFormatting>
  <conditionalFormatting sqref="I343:J343">
    <cfRule type="cellIs" dxfId="28" priority="63" operator="lessThan">
      <formula>0</formula>
    </cfRule>
  </conditionalFormatting>
  <dataValidations count="15">
    <dataValidation type="decimal" operator="greaterThanOrEqual" allowBlank="1" showInputMessage="1" showErrorMessage="1" sqref="I338:J341 I335:J336 K265:L294 C183 J184 D232:E261 I232:J261 N232:O261 G265:H294 C265:D294" xr:uid="{00000000-0002-0000-0100-000000000000}">
      <formula1>0</formula1>
    </dataValidation>
    <dataValidation type="textLength" operator="lessThanOrEqual" allowBlank="1" showInputMessage="1" showErrorMessage="1" sqref="B119:F120 A370 A214 B44:F44 B59:F60 B73:F74 B91:F92 B518:F519 B151:F151 B167:F167 B197:J197 B213:F213 B353:J354 B369:F369 B386:F387 B400:F401 B414:F415 B428:F429 B442:F443 B456:F457 B133:F134 B490:F491 B504:F505 B105:F106 A476" xr:uid="{00000000-0002-0000-0100-000001000000}">
      <formula1>1024</formula1>
    </dataValidation>
    <dataValidation type="list" allowBlank="1" showInputMessage="1" showErrorMessage="1" sqref="F64:H64 I345:J345 F62:J62 F48:J48 F50:H50" xr:uid="{00000000-0002-0000-0100-000002000000}">
      <formula1>"Y,N,NA"</formula1>
    </dataValidation>
    <dataValidation type="list" allowBlank="1" showInputMessage="1" showErrorMessage="1" sqref="I344:J344 I218 I222 I173:J174 I191:J191" xr:uid="{00000000-0002-0000-0100-000003000000}">
      <formula1>"Y,N"</formula1>
    </dataValidation>
    <dataValidation type="date" operator="greaterThanOrEqual" allowBlank="1" showInputMessage="1" showErrorMessage="1" sqref="G338 F335:G335 F331:G331 G232:H261 L232:M261 A265:B294 E265:F294 I265:J294 B232:C261 E181:J181 C5" xr:uid="{00000000-0002-0000-0100-000004000000}">
      <formula1>1</formula1>
    </dataValidation>
    <dataValidation type="whole" operator="greaterThan" allowBlank="1" showInputMessage="1" showErrorMessage="1" sqref="A232:A261" xr:uid="{00000000-0002-0000-0100-000005000000}">
      <formula1>0</formula1>
    </dataValidation>
    <dataValidation type="list" showInputMessage="1" showErrorMessage="1" sqref="J27:J29 J38:J43 J31:J36 J11" xr:uid="{00000000-0002-0000-0100-000006000000}">
      <formula1>"Y,N,NA"</formula1>
    </dataValidation>
    <dataValidation type="list" allowBlank="1" showInputMessage="1" showErrorMessage="1" sqref="G2" xr:uid="{00000000-0002-0000-0100-000007000000}">
      <formula1>"FULL,TARGETED"</formula1>
    </dataValidation>
    <dataValidation type="list" showInputMessage="1" showErrorMessage="1" sqref="H2" xr:uid="{00000000-0002-0000-0100-000008000000}">
      <formula1>"FORMAL,FOLLOW UP,ADMINISTRATIVE,COMPLAINT"</formula1>
    </dataValidation>
    <dataValidation type="textLength" operator="equal" allowBlank="1" showInputMessage="1" showErrorMessage="1" errorTitle="CONTRACT NUMBER LENGTH" error="Contract Number must be 9 digits including leading zeros." sqref="C7:E7" xr:uid="{00000000-0002-0000-0100-000009000000}">
      <formula1>9</formula1>
    </dataValidation>
    <dataValidation type="textLength" operator="lessThanOrEqual" showInputMessage="1" showErrorMessage="1" sqref="A2:F2 B4:C4 B5" xr:uid="{00000000-0002-0000-0100-00000A000000}">
      <formula1>255</formula1>
    </dataValidation>
    <dataValidation type="list" showInputMessage="1" showErrorMessage="1" sqref="I2:J2" xr:uid="{00000000-0002-0000-0100-00000B000000}">
      <formula1>"PROVISIONAL-FORMAL,PROVISIONAL-INTERMITTENT,STANDARD-FORMAL,STANDARD-INTERMITTENT,ENHANCED-FORMAL,ENHANCED-INTERMITTENT,ADMINISTRATIVE,COMPLAINT,CLOSE OUT"</formula1>
    </dataValidation>
    <dataValidation type="date" operator="greaterThanOrEqual" allowBlank="1" showInputMessage="1" showErrorMessage="1" errorTitle="Date Error" error="Date of Exit cannot be earlier than Date of Entrance." sqref="E5" xr:uid="{00000000-0002-0000-0100-00000C000000}">
      <formula1>C5</formula1>
    </dataValidation>
    <dataValidation type="date" operator="greaterThanOrEqual" allowBlank="1" showInputMessage="1" showErrorMessage="1" error="Date of Exit (Revised) cannot be earlier than Date of Exit." sqref="G5:H5" xr:uid="{00000000-0002-0000-0100-00000D000000}">
      <formula1>E5</formula1>
    </dataValidation>
    <dataValidation type="list" showInputMessage="1" showErrorMessage="1" sqref="J18:J25" xr:uid="{00000000-0002-0000-0100-00000E000000}">
      <formula1>"Y,N"</formula1>
    </dataValidation>
  </dataValidations>
  <printOptions horizontalCentered="1"/>
  <pageMargins left="0.5" right="0.5" top="1" bottom="0.75" header="0.25" footer="0.25"/>
  <pageSetup scale="59" fitToHeight="0" orientation="portrait" r:id="rId3"/>
  <headerFooter>
    <oddHeader>&amp;L&amp;"Arial,Regular"&amp;8Texas Department of Aging
and Disability Services&amp;C&amp;"Arial,Bold"&amp;12ADULT FOSTER CARE
 MONITORING WORKBOOK&amp;R&amp;"Arial,Regular"&amp;8Form TBD
Page &amp;P</oddHeader>
  </headerFooter>
  <rowBreaks count="11" manualBreakCount="11">
    <brk id="45" max="16383" man="1"/>
    <brk id="92" max="16383" man="1"/>
    <brk id="152" max="16383" man="1"/>
    <brk id="192" max="16383" man="1"/>
    <brk id="262" max="16383" man="1"/>
    <brk id="295" max="16383" man="1"/>
    <brk id="329" max="16383" man="1"/>
    <brk id="371" max="16383" man="1"/>
    <brk id="415" max="16383" man="1"/>
    <brk id="459" max="16383" man="1"/>
    <brk id="50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29"/>
  <sheetViews>
    <sheetView zoomScaleNormal="100" workbookViewId="0">
      <selection activeCell="A9" sqref="A9:B9"/>
    </sheetView>
  </sheetViews>
  <sheetFormatPr defaultColWidth="9.1796875" defaultRowHeight="15" customHeight="1"/>
  <cols>
    <col min="1" max="16384" width="9.1796875" style="22"/>
  </cols>
  <sheetData>
    <row r="1" spans="1:13" ht="15" customHeight="1">
      <c r="A1" s="1528" t="s">
        <v>0</v>
      </c>
      <c r="B1" s="1529"/>
      <c r="C1" s="1529"/>
      <c r="D1" s="1529"/>
      <c r="E1" s="1529"/>
      <c r="F1" s="1530"/>
      <c r="G1" s="1522" t="s">
        <v>1</v>
      </c>
      <c r="H1" s="1514"/>
      <c r="I1" s="1515"/>
      <c r="J1" s="1522" t="s">
        <v>2</v>
      </c>
      <c r="K1" s="1514"/>
      <c r="L1" s="1515"/>
    </row>
    <row r="2" spans="1:13" ht="15" customHeight="1" thickBot="1">
      <c r="A2" s="1531" t="str">
        <f>IF(AND(CCADAFCcontractNumber=""),"",NameOfLegalEntity)</f>
        <v/>
      </c>
      <c r="B2" s="1520"/>
      <c r="C2" s="1520"/>
      <c r="D2" s="1520"/>
      <c r="E2" s="1520"/>
      <c r="F2" s="1521"/>
      <c r="G2" s="1532" t="str">
        <f>IF(AND(CCADAFCcontractNumber=""),"",ReviewLevel)</f>
        <v/>
      </c>
      <c r="H2" s="1533"/>
      <c r="I2" s="1534"/>
      <c r="J2" s="1532">
        <f>ReviewType</f>
        <v>0</v>
      </c>
      <c r="K2" s="1533"/>
      <c r="L2" s="1534"/>
    </row>
    <row r="3" spans="1:13" ht="15" customHeight="1">
      <c r="A3" s="1522" t="s">
        <v>3</v>
      </c>
      <c r="B3" s="1514"/>
      <c r="C3" s="1515"/>
      <c r="D3" s="1522" t="s">
        <v>4</v>
      </c>
      <c r="E3" s="1515"/>
      <c r="F3" s="1522" t="s">
        <v>894</v>
      </c>
      <c r="G3" s="1515"/>
      <c r="H3" s="1522" t="s">
        <v>894</v>
      </c>
      <c r="I3" s="1515"/>
      <c r="J3" s="1522" t="s">
        <v>939</v>
      </c>
      <c r="K3" s="1514"/>
      <c r="L3" s="1515"/>
    </row>
    <row r="4" spans="1:13" ht="15" customHeight="1">
      <c r="A4" s="284" t="s">
        <v>6</v>
      </c>
      <c r="B4" s="1518" t="str">
        <f>IF(AND(CCADAFCcontractNumber=""),"",CompletedByLastName)</f>
        <v/>
      </c>
      <c r="C4" s="1519"/>
      <c r="D4" s="1506" t="s">
        <v>7</v>
      </c>
      <c r="E4" s="1507"/>
      <c r="F4" s="1506" t="s">
        <v>895</v>
      </c>
      <c r="G4" s="1507"/>
      <c r="H4" s="1506" t="s">
        <v>991</v>
      </c>
      <c r="I4" s="1507"/>
      <c r="J4" s="285" t="s">
        <v>8</v>
      </c>
      <c r="K4" s="1510" t="str">
        <f>IF(AND(CCADAFCcontractNumber=""),"",IF(DateOfMonitoringPeriodBegin="","",DateOfMonitoringPeriodBegin))</f>
        <v/>
      </c>
      <c r="L4" s="1511"/>
    </row>
    <row r="5" spans="1:13" ht="15" customHeight="1" thickBot="1">
      <c r="A5" s="286" t="s">
        <v>9</v>
      </c>
      <c r="B5" s="1520" t="str">
        <f>IF(AND(CCADAFCcontractNumber=""),"",CompletedByFirstName)</f>
        <v/>
      </c>
      <c r="C5" s="1521"/>
      <c r="D5" s="1516" t="str">
        <f>IF(AND(CCADAFCcontractNumber=""),"",IF(DateOfEntrance="","",DateOfEntrance))</f>
        <v/>
      </c>
      <c r="E5" s="1517"/>
      <c r="F5" s="1526" t="str">
        <f>IF(AND(CCADAFCcontractNumber=""),"",IF(DateOfExit="","",DateOfExit))</f>
        <v/>
      </c>
      <c r="G5" s="1527"/>
      <c r="H5" s="1508" t="str">
        <f>IF(AND(CCADAFCcontractNumber=""),"",IF(DateOfRevisedExit="", "",DateOfRevisedExit))</f>
        <v/>
      </c>
      <c r="I5" s="1509"/>
      <c r="J5" s="287" t="s">
        <v>10</v>
      </c>
      <c r="K5" s="1512" t="str">
        <f>IF(AND(CCADAFCcontractNumber=""),"",IF(DateOfMonitoringPeriodEnd="","",DateOfMonitoringPeriodEnd))</f>
        <v/>
      </c>
      <c r="L5" s="1513"/>
    </row>
    <row r="6" spans="1:13" ht="15" customHeight="1">
      <c r="A6" s="1522" t="s">
        <v>11</v>
      </c>
      <c r="B6" s="1514"/>
      <c r="C6" s="1514" t="s">
        <v>49</v>
      </c>
      <c r="D6" s="1515"/>
      <c r="E6" s="1499"/>
      <c r="F6" s="1500"/>
      <c r="G6" s="1501"/>
      <c r="H6" s="1501"/>
      <c r="I6" s="1501"/>
      <c r="J6" s="1501"/>
      <c r="K6" s="1501"/>
      <c r="L6" s="1502"/>
    </row>
    <row r="7" spans="1:13" ht="15" customHeight="1" thickBot="1">
      <c r="A7" s="1523" t="s">
        <v>402</v>
      </c>
      <c r="B7" s="1524"/>
      <c r="C7" s="1494">
        <f>CCADAFCcontractNumber</f>
        <v>0</v>
      </c>
      <c r="D7" s="1495"/>
      <c r="E7" s="1503"/>
      <c r="F7" s="1504"/>
      <c r="G7" s="1504"/>
      <c r="H7" s="1504"/>
      <c r="I7" s="1504"/>
      <c r="J7" s="1504"/>
      <c r="K7" s="1504"/>
      <c r="L7" s="1505"/>
      <c r="M7" s="283"/>
    </row>
    <row r="8" spans="1:13" ht="15" customHeight="1">
      <c r="A8" s="1525" t="s">
        <v>41</v>
      </c>
      <c r="B8" s="1496"/>
      <c r="C8" s="1496" t="s">
        <v>1038</v>
      </c>
      <c r="D8" s="1496"/>
      <c r="E8" s="1497" t="s">
        <v>352</v>
      </c>
      <c r="F8" s="1497"/>
      <c r="G8" s="1497"/>
      <c r="H8" s="1497"/>
      <c r="I8" s="1497"/>
      <c r="J8" s="1497"/>
      <c r="K8" s="1497"/>
      <c r="L8" s="1498"/>
    </row>
    <row r="9" spans="1:13" ht="45" customHeight="1">
      <c r="A9" s="1490"/>
      <c r="B9" s="1491"/>
      <c r="C9" s="1491"/>
      <c r="D9" s="1491"/>
      <c r="E9" s="1492"/>
      <c r="F9" s="1492"/>
      <c r="G9" s="1492"/>
      <c r="H9" s="1492"/>
      <c r="I9" s="1492"/>
      <c r="J9" s="1492"/>
      <c r="K9" s="1492"/>
      <c r="L9" s="1493"/>
    </row>
    <row r="10" spans="1:13" ht="45" customHeight="1">
      <c r="A10" s="1490"/>
      <c r="B10" s="1491"/>
      <c r="C10" s="1491"/>
      <c r="D10" s="1491"/>
      <c r="E10" s="1492"/>
      <c r="F10" s="1492"/>
      <c r="G10" s="1492"/>
      <c r="H10" s="1492"/>
      <c r="I10" s="1492"/>
      <c r="J10" s="1492"/>
      <c r="K10" s="1492"/>
      <c r="L10" s="1493"/>
    </row>
    <row r="11" spans="1:13" ht="45" customHeight="1">
      <c r="A11" s="1490"/>
      <c r="B11" s="1491"/>
      <c r="C11" s="1491"/>
      <c r="D11" s="1491"/>
      <c r="E11" s="1492"/>
      <c r="F11" s="1492"/>
      <c r="G11" s="1492"/>
      <c r="H11" s="1492"/>
      <c r="I11" s="1492"/>
      <c r="J11" s="1492"/>
      <c r="K11" s="1492"/>
      <c r="L11" s="1493"/>
    </row>
    <row r="12" spans="1:13" ht="45" customHeight="1">
      <c r="A12" s="1490"/>
      <c r="B12" s="1491"/>
      <c r="C12" s="1491"/>
      <c r="D12" s="1491"/>
      <c r="E12" s="1492"/>
      <c r="F12" s="1492"/>
      <c r="G12" s="1492"/>
      <c r="H12" s="1492"/>
      <c r="I12" s="1492"/>
      <c r="J12" s="1492"/>
      <c r="K12" s="1492"/>
      <c r="L12" s="1493"/>
    </row>
    <row r="13" spans="1:13" ht="45" customHeight="1">
      <c r="A13" s="1490"/>
      <c r="B13" s="1491"/>
      <c r="C13" s="1491"/>
      <c r="D13" s="1491"/>
      <c r="E13" s="1492"/>
      <c r="F13" s="1492"/>
      <c r="G13" s="1492"/>
      <c r="H13" s="1492"/>
      <c r="I13" s="1492"/>
      <c r="J13" s="1492"/>
      <c r="K13" s="1492"/>
      <c r="L13" s="1493"/>
    </row>
    <row r="14" spans="1:13" ht="45" customHeight="1">
      <c r="A14" s="1490"/>
      <c r="B14" s="1491"/>
      <c r="C14" s="1491"/>
      <c r="D14" s="1491"/>
      <c r="E14" s="1492"/>
      <c r="F14" s="1492"/>
      <c r="G14" s="1492"/>
      <c r="H14" s="1492"/>
      <c r="I14" s="1492"/>
      <c r="J14" s="1492"/>
      <c r="K14" s="1492"/>
      <c r="L14" s="1493"/>
    </row>
    <row r="15" spans="1:13" ht="45" customHeight="1">
      <c r="A15" s="1490"/>
      <c r="B15" s="1491"/>
      <c r="C15" s="1491"/>
      <c r="D15" s="1491"/>
      <c r="E15" s="1492"/>
      <c r="F15" s="1492"/>
      <c r="G15" s="1492"/>
      <c r="H15" s="1492"/>
      <c r="I15" s="1492"/>
      <c r="J15" s="1492"/>
      <c r="K15" s="1492"/>
      <c r="L15" s="1493"/>
    </row>
    <row r="16" spans="1:13" ht="45" customHeight="1">
      <c r="A16" s="1490"/>
      <c r="B16" s="1491"/>
      <c r="C16" s="1491"/>
      <c r="D16" s="1491"/>
      <c r="E16" s="1492"/>
      <c r="F16" s="1492"/>
      <c r="G16" s="1492"/>
      <c r="H16" s="1492"/>
      <c r="I16" s="1492"/>
      <c r="J16" s="1492"/>
      <c r="K16" s="1492"/>
      <c r="L16" s="1493"/>
    </row>
    <row r="17" spans="1:12" ht="45" customHeight="1">
      <c r="A17" s="1490"/>
      <c r="B17" s="1491"/>
      <c r="C17" s="1491"/>
      <c r="D17" s="1491"/>
      <c r="E17" s="1492"/>
      <c r="F17" s="1492"/>
      <c r="G17" s="1492"/>
      <c r="H17" s="1492"/>
      <c r="I17" s="1492"/>
      <c r="J17" s="1492"/>
      <c r="K17" s="1492"/>
      <c r="L17" s="1493"/>
    </row>
    <row r="18" spans="1:12" ht="45" customHeight="1">
      <c r="A18" s="1490"/>
      <c r="B18" s="1491"/>
      <c r="C18" s="1491"/>
      <c r="D18" s="1491"/>
      <c r="E18" s="1492"/>
      <c r="F18" s="1492"/>
      <c r="G18" s="1492"/>
      <c r="H18" s="1492"/>
      <c r="I18" s="1492"/>
      <c r="J18" s="1492"/>
      <c r="K18" s="1492"/>
      <c r="L18" s="1493"/>
    </row>
    <row r="19" spans="1:12" ht="45" customHeight="1">
      <c r="A19" s="1490"/>
      <c r="B19" s="1491"/>
      <c r="C19" s="1491"/>
      <c r="D19" s="1491"/>
      <c r="E19" s="1492"/>
      <c r="F19" s="1492"/>
      <c r="G19" s="1492"/>
      <c r="H19" s="1492"/>
      <c r="I19" s="1492"/>
      <c r="J19" s="1492"/>
      <c r="K19" s="1492"/>
      <c r="L19" s="1493"/>
    </row>
    <row r="20" spans="1:12" ht="45" customHeight="1">
      <c r="A20" s="1490"/>
      <c r="B20" s="1491"/>
      <c r="C20" s="1491"/>
      <c r="D20" s="1491"/>
      <c r="E20" s="1492"/>
      <c r="F20" s="1492"/>
      <c r="G20" s="1492"/>
      <c r="H20" s="1492"/>
      <c r="I20" s="1492"/>
      <c r="J20" s="1492"/>
      <c r="K20" s="1492"/>
      <c r="L20" s="1493"/>
    </row>
    <row r="21" spans="1:12" ht="45" customHeight="1">
      <c r="A21" s="1490"/>
      <c r="B21" s="1491"/>
      <c r="C21" s="1491"/>
      <c r="D21" s="1491"/>
      <c r="E21" s="1492"/>
      <c r="F21" s="1492"/>
      <c r="G21" s="1492"/>
      <c r="H21" s="1492"/>
      <c r="I21" s="1492"/>
      <c r="J21" s="1492"/>
      <c r="K21" s="1492"/>
      <c r="L21" s="1493"/>
    </row>
    <row r="22" spans="1:12" ht="45" customHeight="1">
      <c r="A22" s="1490"/>
      <c r="B22" s="1491"/>
      <c r="C22" s="1491"/>
      <c r="D22" s="1491"/>
      <c r="E22" s="1492"/>
      <c r="F22" s="1492"/>
      <c r="G22" s="1492"/>
      <c r="H22" s="1492"/>
      <c r="I22" s="1492"/>
      <c r="J22" s="1492"/>
      <c r="K22" s="1492"/>
      <c r="L22" s="1493"/>
    </row>
    <row r="23" spans="1:12" ht="45" customHeight="1">
      <c r="A23" s="1490"/>
      <c r="B23" s="1491"/>
      <c r="C23" s="1491"/>
      <c r="D23" s="1491"/>
      <c r="E23" s="1492"/>
      <c r="F23" s="1492"/>
      <c r="G23" s="1492"/>
      <c r="H23" s="1492"/>
      <c r="I23" s="1492"/>
      <c r="J23" s="1492"/>
      <c r="K23" s="1492"/>
      <c r="L23" s="1493"/>
    </row>
    <row r="24" spans="1:12" ht="45" customHeight="1">
      <c r="A24" s="1490"/>
      <c r="B24" s="1491"/>
      <c r="C24" s="1491"/>
      <c r="D24" s="1491"/>
      <c r="E24" s="1492"/>
      <c r="F24" s="1492"/>
      <c r="G24" s="1492"/>
      <c r="H24" s="1492"/>
      <c r="I24" s="1492"/>
      <c r="J24" s="1492"/>
      <c r="K24" s="1492"/>
      <c r="L24" s="1493"/>
    </row>
    <row r="25" spans="1:12" ht="45" customHeight="1">
      <c r="A25" s="1490"/>
      <c r="B25" s="1491"/>
      <c r="C25" s="1491"/>
      <c r="D25" s="1491"/>
      <c r="E25" s="1492"/>
      <c r="F25" s="1492"/>
      <c r="G25" s="1492"/>
      <c r="H25" s="1492"/>
      <c r="I25" s="1492"/>
      <c r="J25" s="1492"/>
      <c r="K25" s="1492"/>
      <c r="L25" s="1493"/>
    </row>
    <row r="26" spans="1:12" ht="45" customHeight="1">
      <c r="A26" s="1490"/>
      <c r="B26" s="1491"/>
      <c r="C26" s="1491"/>
      <c r="D26" s="1491"/>
      <c r="E26" s="1492"/>
      <c r="F26" s="1492"/>
      <c r="G26" s="1492"/>
      <c r="H26" s="1492"/>
      <c r="I26" s="1492"/>
      <c r="J26" s="1492"/>
      <c r="K26" s="1492"/>
      <c r="L26" s="1493"/>
    </row>
    <row r="27" spans="1:12" ht="45" customHeight="1">
      <c r="A27" s="1490"/>
      <c r="B27" s="1491"/>
      <c r="C27" s="1491"/>
      <c r="D27" s="1491"/>
      <c r="E27" s="1492"/>
      <c r="F27" s="1492"/>
      <c r="G27" s="1492"/>
      <c r="H27" s="1492"/>
      <c r="I27" s="1492"/>
      <c r="J27" s="1492"/>
      <c r="K27" s="1492"/>
      <c r="L27" s="1493"/>
    </row>
    <row r="28" spans="1:12" ht="45" customHeight="1">
      <c r="A28" s="1490"/>
      <c r="B28" s="1491"/>
      <c r="C28" s="1491"/>
      <c r="D28" s="1491"/>
      <c r="E28" s="1492"/>
      <c r="F28" s="1492"/>
      <c r="G28" s="1492"/>
      <c r="H28" s="1492"/>
      <c r="I28" s="1492"/>
      <c r="J28" s="1492"/>
      <c r="K28" s="1492"/>
      <c r="L28" s="1493"/>
    </row>
    <row r="29" spans="1:12" ht="45" customHeight="1" thickBot="1">
      <c r="A29" s="1486"/>
      <c r="B29" s="1487"/>
      <c r="C29" s="1487"/>
      <c r="D29" s="1487"/>
      <c r="E29" s="1488"/>
      <c r="F29" s="1488"/>
      <c r="G29" s="1488"/>
      <c r="H29" s="1488"/>
      <c r="I29" s="1488"/>
      <c r="J29" s="1488"/>
      <c r="K29" s="1488"/>
      <c r="L29" s="1489"/>
    </row>
  </sheetData>
  <sheetProtection algorithmName="SHA-512" hashValue="CdDkVJmjWh1SaPrTJ/MR4vzhk0lq+ad65iqk+5cdwmrHBLc12ySW2izAl6atZDLUxUFCKbeKgVqXLg5VLV1pBQ==" saltValue="YegwCuQARlwfheb0traMWw==" spinCount="100000" sheet="1" selectLockedCells="1"/>
  <customSheetViews>
    <customSheetView guid="{E1D23BD2-FE11-448B-A102-D2461140BE5A}">
      <selection activeCell="A9" sqref="A9:B9"/>
      <pageMargins left="0.7" right="0.7" top="0.75" bottom="0.75" header="0.3" footer="0.3"/>
      <pageSetup orientation="landscape" r:id="rId1"/>
    </customSheetView>
    <customSheetView guid="{B71FF06E-B5A8-4FBF-B20E-2B604DE9BFBD}">
      <selection activeCell="A9" sqref="A9:B9"/>
      <pageMargins left="0.7" right="0.7" top="0.75" bottom="0.75" header="0.3" footer="0.3"/>
      <pageSetup orientation="landscape" r:id="rId2"/>
    </customSheetView>
  </customSheetViews>
  <mergeCells count="92">
    <mergeCell ref="F4:G4"/>
    <mergeCell ref="F5:G5"/>
    <mergeCell ref="H3:I3"/>
    <mergeCell ref="J3:L3"/>
    <mergeCell ref="A1:F1"/>
    <mergeCell ref="A2:F2"/>
    <mergeCell ref="J1:L1"/>
    <mergeCell ref="J2:L2"/>
    <mergeCell ref="G1:I1"/>
    <mergeCell ref="G2:I2"/>
    <mergeCell ref="A3:C3"/>
    <mergeCell ref="D3:E3"/>
    <mergeCell ref="F3:G3"/>
    <mergeCell ref="C7:D7"/>
    <mergeCell ref="C8:D8"/>
    <mergeCell ref="E8:L8"/>
    <mergeCell ref="E6:L7"/>
    <mergeCell ref="H4:I4"/>
    <mergeCell ref="H5:I5"/>
    <mergeCell ref="K4:L4"/>
    <mergeCell ref="K5:L5"/>
    <mergeCell ref="C6:D6"/>
    <mergeCell ref="D5:E5"/>
    <mergeCell ref="B4:C4"/>
    <mergeCell ref="B5:C5"/>
    <mergeCell ref="A6:B6"/>
    <mergeCell ref="A7:B7"/>
    <mergeCell ref="A8:B8"/>
    <mergeCell ref="D4:E4"/>
    <mergeCell ref="A9:B9"/>
    <mergeCell ref="C9:D9"/>
    <mergeCell ref="E9:L9"/>
    <mergeCell ref="A10:B10"/>
    <mergeCell ref="C10:D10"/>
    <mergeCell ref="E10:L10"/>
    <mergeCell ref="A11:B11"/>
    <mergeCell ref="C11:D11"/>
    <mergeCell ref="E11:L11"/>
    <mergeCell ref="A12:B12"/>
    <mergeCell ref="C12:D12"/>
    <mergeCell ref="E12:L12"/>
    <mergeCell ref="A13:B13"/>
    <mergeCell ref="C13:D13"/>
    <mergeCell ref="E13:L13"/>
    <mergeCell ref="A14:B14"/>
    <mergeCell ref="C14:D14"/>
    <mergeCell ref="E14:L14"/>
    <mergeCell ref="A15:B15"/>
    <mergeCell ref="C15:D15"/>
    <mergeCell ref="E15:L15"/>
    <mergeCell ref="A16:B16"/>
    <mergeCell ref="C16:D16"/>
    <mergeCell ref="E16:L16"/>
    <mergeCell ref="A17:B17"/>
    <mergeCell ref="C17:D17"/>
    <mergeCell ref="E17:L17"/>
    <mergeCell ref="A18:B18"/>
    <mergeCell ref="C18:D18"/>
    <mergeCell ref="E18:L18"/>
    <mergeCell ref="A19:B19"/>
    <mergeCell ref="C19:D19"/>
    <mergeCell ref="E19:L19"/>
    <mergeCell ref="A20:B20"/>
    <mergeCell ref="C20:D20"/>
    <mergeCell ref="E20:L20"/>
    <mergeCell ref="A21:B21"/>
    <mergeCell ref="C21:D21"/>
    <mergeCell ref="E21:L21"/>
    <mergeCell ref="A22:B22"/>
    <mergeCell ref="C22:D22"/>
    <mergeCell ref="E22:L22"/>
    <mergeCell ref="A23:B23"/>
    <mergeCell ref="C23:D23"/>
    <mergeCell ref="E23:L23"/>
    <mergeCell ref="A24:B24"/>
    <mergeCell ref="C24:D24"/>
    <mergeCell ref="E24:L24"/>
    <mergeCell ref="A25:B25"/>
    <mergeCell ref="C25:D25"/>
    <mergeCell ref="E25:L25"/>
    <mergeCell ref="A26:B26"/>
    <mergeCell ref="C26:D26"/>
    <mergeCell ref="E26:L26"/>
    <mergeCell ref="A29:B29"/>
    <mergeCell ref="C29:D29"/>
    <mergeCell ref="E29:L29"/>
    <mergeCell ref="A27:B27"/>
    <mergeCell ref="C27:D27"/>
    <mergeCell ref="E27:L27"/>
    <mergeCell ref="A28:B28"/>
    <mergeCell ref="C28:D28"/>
    <mergeCell ref="E28:L28"/>
  </mergeCells>
  <pageMargins left="0.7" right="0.7" top="0.75" bottom="0.75" header="0.3" footer="0.3"/>
  <pageSetup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289"/>
  <sheetViews>
    <sheetView zoomScaleNormal="100" workbookViewId="0">
      <selection activeCell="M2" sqref="M2"/>
    </sheetView>
  </sheetViews>
  <sheetFormatPr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f>'Samples (Print)'!A5</f>
        <v>1</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OANOhjFg/6ktaVcGMMdTqYyef2nO1aGJaFfygURzJsCPeCmE8iGiKCtVvo4iFMp2C6q1ctYHJ9IYubV7kpv4A==" saltValue="sg2M7iV9q30a8XZ8nvvRBQ==" spinCount="100000" sheet="1" objects="1" scenarios="1" selectLockedCells="1"/>
  <dataConsolidate/>
  <customSheetViews>
    <customSheetView guid="{E1D23BD2-FE11-448B-A102-D2461140BE5A}" hiddenColumns="1">
      <selection activeCell="M2" sqref="M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71:I272"/>
    <mergeCell ref="B273:K275"/>
    <mergeCell ref="J230:K230"/>
    <mergeCell ref="J231:K231"/>
    <mergeCell ref="J232:K232"/>
    <mergeCell ref="J233:K236"/>
    <mergeCell ref="J223:K223"/>
    <mergeCell ref="A237:K237"/>
    <mergeCell ref="H229:I229"/>
    <mergeCell ref="J227:K227"/>
    <mergeCell ref="J228:K228"/>
    <mergeCell ref="A236:I236"/>
    <mergeCell ref="A239:I239"/>
    <mergeCell ref="B238:K238"/>
    <mergeCell ref="J239:K244"/>
    <mergeCell ref="F266:G266"/>
    <mergeCell ref="D267:E267"/>
    <mergeCell ref="F265:G265"/>
    <mergeCell ref="A267:B267"/>
    <mergeCell ref="D265:E265"/>
    <mergeCell ref="D266:E266"/>
    <mergeCell ref="B246:K246"/>
    <mergeCell ref="D261:E261"/>
    <mergeCell ref="D262:E262"/>
    <mergeCell ref="A221:I222"/>
    <mergeCell ref="B225:K226"/>
    <mergeCell ref="A234:I235"/>
    <mergeCell ref="E214:K214"/>
    <mergeCell ref="A207:K207"/>
    <mergeCell ref="E199:G199"/>
    <mergeCell ref="A201:I202"/>
    <mergeCell ref="H199:K199"/>
    <mergeCell ref="C197:D197"/>
    <mergeCell ref="E197:G197"/>
    <mergeCell ref="A233:I233"/>
    <mergeCell ref="A230:I230"/>
    <mergeCell ref="A231:I231"/>
    <mergeCell ref="A232:I232"/>
    <mergeCell ref="E211:K211"/>
    <mergeCell ref="E210:K210"/>
    <mergeCell ref="C209:D209"/>
    <mergeCell ref="E209:K209"/>
    <mergeCell ref="A209:B209"/>
    <mergeCell ref="C216:D216"/>
    <mergeCell ref="C215:D215"/>
    <mergeCell ref="A223:A226"/>
    <mergeCell ref="J229:K229"/>
    <mergeCell ref="F228:G228"/>
    <mergeCell ref="E185:G185"/>
    <mergeCell ref="H185:K185"/>
    <mergeCell ref="A194:B194"/>
    <mergeCell ref="H194:K194"/>
    <mergeCell ref="C188:D188"/>
    <mergeCell ref="E186:G186"/>
    <mergeCell ref="H186:K186"/>
    <mergeCell ref="E187:G187"/>
    <mergeCell ref="A188:B188"/>
    <mergeCell ref="H187:K187"/>
    <mergeCell ref="E188:G188"/>
    <mergeCell ref="H188:K188"/>
    <mergeCell ref="E191:G191"/>
    <mergeCell ref="H191:K191"/>
    <mergeCell ref="C189:D189"/>
    <mergeCell ref="A190:B190"/>
    <mergeCell ref="C190:D190"/>
    <mergeCell ref="A191:B191"/>
    <mergeCell ref="C191:D191"/>
    <mergeCell ref="E189:G189"/>
    <mergeCell ref="A192:B192"/>
    <mergeCell ref="A193:B193"/>
    <mergeCell ref="H190:K190"/>
    <mergeCell ref="A179:B179"/>
    <mergeCell ref="C179:D179"/>
    <mergeCell ref="A180:B180"/>
    <mergeCell ref="C180:D180"/>
    <mergeCell ref="A184:B184"/>
    <mergeCell ref="C184:D184"/>
    <mergeCell ref="B168:I169"/>
    <mergeCell ref="A177:K177"/>
    <mergeCell ref="E181:G181"/>
    <mergeCell ref="H181:K181"/>
    <mergeCell ref="E182:G182"/>
    <mergeCell ref="H184:K184"/>
    <mergeCell ref="H182:K182"/>
    <mergeCell ref="E183:G183"/>
    <mergeCell ref="H183:K183"/>
    <mergeCell ref="E184:G184"/>
    <mergeCell ref="B173:K173"/>
    <mergeCell ref="C182:D182"/>
    <mergeCell ref="C181:D181"/>
    <mergeCell ref="A183:B183"/>
    <mergeCell ref="A115:I119"/>
    <mergeCell ref="B123:K125"/>
    <mergeCell ref="A127:K127"/>
    <mergeCell ref="A131:I132"/>
    <mergeCell ref="B135:K136"/>
    <mergeCell ref="J130:K132"/>
    <mergeCell ref="A128:C128"/>
    <mergeCell ref="F128:H128"/>
    <mergeCell ref="I128:K128"/>
    <mergeCell ref="J133:K133"/>
    <mergeCell ref="A129:C129"/>
    <mergeCell ref="A130:I130"/>
    <mergeCell ref="J114:K119"/>
    <mergeCell ref="D128:E128"/>
    <mergeCell ref="A126:K126"/>
    <mergeCell ref="J122:K122"/>
    <mergeCell ref="A121:A125"/>
    <mergeCell ref="J121:K121"/>
    <mergeCell ref="J103:K103"/>
    <mergeCell ref="K42:L42"/>
    <mergeCell ref="K45:L47"/>
    <mergeCell ref="A96:H96"/>
    <mergeCell ref="K96:L96"/>
    <mergeCell ref="A87:H87"/>
    <mergeCell ref="K88:L88"/>
    <mergeCell ref="A88:H88"/>
    <mergeCell ref="K89:L89"/>
    <mergeCell ref="K90:L90"/>
    <mergeCell ref="K92:L92"/>
    <mergeCell ref="A90:F90"/>
    <mergeCell ref="A89:G89"/>
    <mergeCell ref="A92:G92"/>
    <mergeCell ref="A91:L91"/>
    <mergeCell ref="G90:H90"/>
    <mergeCell ref="A93:F93"/>
    <mergeCell ref="A68:J68"/>
    <mergeCell ref="B72:L74"/>
    <mergeCell ref="A41:A44"/>
    <mergeCell ref="B41:J41"/>
    <mergeCell ref="K41:L41"/>
    <mergeCell ref="A86:E86"/>
    <mergeCell ref="A60:L60"/>
    <mergeCell ref="A14:J14"/>
    <mergeCell ref="A57:L57"/>
    <mergeCell ref="A58:L58"/>
    <mergeCell ref="A46:J46"/>
    <mergeCell ref="B51:L54"/>
    <mergeCell ref="A61:D61"/>
    <mergeCell ref="F61:G61"/>
    <mergeCell ref="H61:L66"/>
    <mergeCell ref="E66:G66"/>
    <mergeCell ref="F62:G62"/>
    <mergeCell ref="F63:G63"/>
    <mergeCell ref="F64:G64"/>
    <mergeCell ref="F65:G65"/>
    <mergeCell ref="K49:L49"/>
    <mergeCell ref="K50:L50"/>
    <mergeCell ref="A59:L59"/>
    <mergeCell ref="A49:A54"/>
    <mergeCell ref="B37:I37"/>
    <mergeCell ref="J37:K37"/>
    <mergeCell ref="B38:I38"/>
    <mergeCell ref="A18:K18"/>
    <mergeCell ref="A19:K19"/>
    <mergeCell ref="A21:K21"/>
    <mergeCell ref="A39:I39"/>
    <mergeCell ref="K10:L11"/>
    <mergeCell ref="K12:L13"/>
    <mergeCell ref="A10:B10"/>
    <mergeCell ref="J36:K36"/>
    <mergeCell ref="A16:A17"/>
    <mergeCell ref="A20:K20"/>
    <mergeCell ref="A24:I24"/>
    <mergeCell ref="A33:K33"/>
    <mergeCell ref="B35:I35"/>
    <mergeCell ref="J35:K35"/>
    <mergeCell ref="A23:I23"/>
    <mergeCell ref="A34:A38"/>
    <mergeCell ref="C10:H10"/>
    <mergeCell ref="I10:J10"/>
    <mergeCell ref="C11:J11"/>
    <mergeCell ref="A11:B11"/>
    <mergeCell ref="C12:H12"/>
    <mergeCell ref="A12:B13"/>
    <mergeCell ref="I12:J12"/>
    <mergeCell ref="B34:K34"/>
    <mergeCell ref="A25:I25"/>
    <mergeCell ref="B16:K17"/>
    <mergeCell ref="C13:J13"/>
    <mergeCell ref="K14:L14"/>
    <mergeCell ref="A5:L5"/>
    <mergeCell ref="D1:E1"/>
    <mergeCell ref="B1:C1"/>
    <mergeCell ref="B2:C2"/>
    <mergeCell ref="K7:L7"/>
    <mergeCell ref="H3:K3"/>
    <mergeCell ref="H4:K4"/>
    <mergeCell ref="D3:G3"/>
    <mergeCell ref="D4:G4"/>
    <mergeCell ref="A3:B4"/>
    <mergeCell ref="D2:E2"/>
    <mergeCell ref="K6:L6"/>
    <mergeCell ref="F1:I1"/>
    <mergeCell ref="J1:M1"/>
    <mergeCell ref="A6:A9"/>
    <mergeCell ref="B6:J7"/>
    <mergeCell ref="B8:L9"/>
    <mergeCell ref="J39:K39"/>
    <mergeCell ref="J38:K38"/>
    <mergeCell ref="B36:I36"/>
    <mergeCell ref="A45:J45"/>
    <mergeCell ref="A47:J47"/>
    <mergeCell ref="A15:K15"/>
    <mergeCell ref="D22:E22"/>
    <mergeCell ref="I22:K22"/>
    <mergeCell ref="J23:K25"/>
    <mergeCell ref="A26:I26"/>
    <mergeCell ref="J26:K28"/>
    <mergeCell ref="A27:I27"/>
    <mergeCell ref="A28:I28"/>
    <mergeCell ref="A29:I29"/>
    <mergeCell ref="J29:K32"/>
    <mergeCell ref="A30:I30"/>
    <mergeCell ref="A32:I32"/>
    <mergeCell ref="A31:I31"/>
    <mergeCell ref="A48:L48"/>
    <mergeCell ref="A56:L56"/>
    <mergeCell ref="A40:L40"/>
    <mergeCell ref="A65:D65"/>
    <mergeCell ref="A66:D66"/>
    <mergeCell ref="A75:A79"/>
    <mergeCell ref="B75:J76"/>
    <mergeCell ref="K75:L75"/>
    <mergeCell ref="K76:L76"/>
    <mergeCell ref="B78:L78"/>
    <mergeCell ref="B79:L79"/>
    <mergeCell ref="A81:A85"/>
    <mergeCell ref="B77:L77"/>
    <mergeCell ref="B81:L81"/>
    <mergeCell ref="B82:L82"/>
    <mergeCell ref="K67:L68"/>
    <mergeCell ref="A67:J67"/>
    <mergeCell ref="F86:H86"/>
    <mergeCell ref="K94:L94"/>
    <mergeCell ref="A95:H95"/>
    <mergeCell ref="K95:L95"/>
    <mergeCell ref="K86:L86"/>
    <mergeCell ref="K87:L87"/>
    <mergeCell ref="J99:L99"/>
    <mergeCell ref="A99:H99"/>
    <mergeCell ref="A100:H100"/>
    <mergeCell ref="A97:G97"/>
    <mergeCell ref="J100:L100"/>
    <mergeCell ref="K97:L97"/>
    <mergeCell ref="G93:H93"/>
    <mergeCell ref="K93:L93"/>
    <mergeCell ref="A94:H94"/>
    <mergeCell ref="A98:G98"/>
    <mergeCell ref="K98:L98"/>
    <mergeCell ref="A154:B154"/>
    <mergeCell ref="C154:D154"/>
    <mergeCell ref="E154:G154"/>
    <mergeCell ref="J146:K146"/>
    <mergeCell ref="A145:A148"/>
    <mergeCell ref="A149:K149"/>
    <mergeCell ref="J145:K145"/>
    <mergeCell ref="A153:B153"/>
    <mergeCell ref="C153:D153"/>
    <mergeCell ref="E153:G153"/>
    <mergeCell ref="B145:I146"/>
    <mergeCell ref="A152:K152"/>
    <mergeCell ref="A151:K151"/>
    <mergeCell ref="A150:K150"/>
    <mergeCell ref="B147:K147"/>
    <mergeCell ref="B148:K148"/>
    <mergeCell ref="H153:K153"/>
    <mergeCell ref="H154:K154"/>
    <mergeCell ref="H158:K158"/>
    <mergeCell ref="C219:D219"/>
    <mergeCell ref="R227:S228"/>
    <mergeCell ref="N229:O229"/>
    <mergeCell ref="P229:Q229"/>
    <mergeCell ref="F229:G229"/>
    <mergeCell ref="R229:S229"/>
    <mergeCell ref="B206:K206"/>
    <mergeCell ref="A203:A206"/>
    <mergeCell ref="A208:B208"/>
    <mergeCell ref="C208:D208"/>
    <mergeCell ref="E208:K208"/>
    <mergeCell ref="A218:B218"/>
    <mergeCell ref="A210:B210"/>
    <mergeCell ref="C210:D210"/>
    <mergeCell ref="A214:B214"/>
    <mergeCell ref="A211:B211"/>
    <mergeCell ref="A212:B212"/>
    <mergeCell ref="A213:B213"/>
    <mergeCell ref="A217:B217"/>
    <mergeCell ref="C217:D217"/>
    <mergeCell ref="P228:Q228"/>
    <mergeCell ref="B229:C229"/>
    <mergeCell ref="C214:D214"/>
    <mergeCell ref="A138:K138"/>
    <mergeCell ref="I129:K129"/>
    <mergeCell ref="J134:K134"/>
    <mergeCell ref="A133:A136"/>
    <mergeCell ref="L227:M228"/>
    <mergeCell ref="L229:M229"/>
    <mergeCell ref="N228:O228"/>
    <mergeCell ref="E212:K212"/>
    <mergeCell ref="E213:K213"/>
    <mergeCell ref="J224:K224"/>
    <mergeCell ref="A227:C228"/>
    <mergeCell ref="D228:E228"/>
    <mergeCell ref="D229:E229"/>
    <mergeCell ref="D227:E227"/>
    <mergeCell ref="F227:G227"/>
    <mergeCell ref="A216:B216"/>
    <mergeCell ref="C218:D218"/>
    <mergeCell ref="A219:B219"/>
    <mergeCell ref="E218:K218"/>
    <mergeCell ref="C212:D212"/>
    <mergeCell ref="C213:D213"/>
    <mergeCell ref="N227:Q227"/>
    <mergeCell ref="A215:B215"/>
    <mergeCell ref="A140:C140"/>
    <mergeCell ref="D140:E140"/>
    <mergeCell ref="F140:H140"/>
    <mergeCell ref="I140:K140"/>
    <mergeCell ref="A141:C141"/>
    <mergeCell ref="D141:E141"/>
    <mergeCell ref="C193:D193"/>
    <mergeCell ref="D129:E129"/>
    <mergeCell ref="A137:K137"/>
    <mergeCell ref="A139:K139"/>
    <mergeCell ref="F129:H129"/>
    <mergeCell ref="B133:I134"/>
    <mergeCell ref="A186:B186"/>
    <mergeCell ref="C186:D186"/>
    <mergeCell ref="A187:B187"/>
    <mergeCell ref="F141:H141"/>
    <mergeCell ref="I141:K141"/>
    <mergeCell ref="J142:K144"/>
    <mergeCell ref="A142:I142"/>
    <mergeCell ref="A143:I144"/>
    <mergeCell ref="C159:D159"/>
    <mergeCell ref="A185:B185"/>
    <mergeCell ref="C185:D185"/>
    <mergeCell ref="C178:D178"/>
    <mergeCell ref="A168:A176"/>
    <mergeCell ref="C160:D160"/>
    <mergeCell ref="E160:G160"/>
    <mergeCell ref="H160:K160"/>
    <mergeCell ref="C162:D162"/>
    <mergeCell ref="C163:D163"/>
    <mergeCell ref="E161:G161"/>
    <mergeCell ref="H161:K161"/>
    <mergeCell ref="E162:G162"/>
    <mergeCell ref="H162:K162"/>
    <mergeCell ref="E163:G163"/>
    <mergeCell ref="A163:B163"/>
    <mergeCell ref="H163:K163"/>
    <mergeCell ref="C161:D161"/>
    <mergeCell ref="J168:K168"/>
    <mergeCell ref="J169:K169"/>
    <mergeCell ref="B170:K171"/>
    <mergeCell ref="B174:K174"/>
    <mergeCell ref="G105:H105"/>
    <mergeCell ref="J105:K105"/>
    <mergeCell ref="C106:D106"/>
    <mergeCell ref="G106:H106"/>
    <mergeCell ref="J106:K106"/>
    <mergeCell ref="C107:D107"/>
    <mergeCell ref="G107:H107"/>
    <mergeCell ref="J107:K107"/>
    <mergeCell ref="B121:I122"/>
    <mergeCell ref="J112:K112"/>
    <mergeCell ref="C110:D110"/>
    <mergeCell ref="G110:H110"/>
    <mergeCell ref="J110:K110"/>
    <mergeCell ref="C108:D108"/>
    <mergeCell ref="G108:H108"/>
    <mergeCell ref="G112:H112"/>
    <mergeCell ref="A120:K120"/>
    <mergeCell ref="G113:H113"/>
    <mergeCell ref="J113:K113"/>
    <mergeCell ref="A113:F113"/>
    <mergeCell ref="A114:I114"/>
    <mergeCell ref="C104:D104"/>
    <mergeCell ref="E101:H101"/>
    <mergeCell ref="I101:K101"/>
    <mergeCell ref="C102:D102"/>
    <mergeCell ref="G102:H102"/>
    <mergeCell ref="J102:K102"/>
    <mergeCell ref="C103:D103"/>
    <mergeCell ref="J108:K108"/>
    <mergeCell ref="C109:D109"/>
    <mergeCell ref="G109:H109"/>
    <mergeCell ref="C112:D112"/>
    <mergeCell ref="C111:D111"/>
    <mergeCell ref="G111:H111"/>
    <mergeCell ref="J111:K111"/>
    <mergeCell ref="A101:D101"/>
    <mergeCell ref="G104:H104"/>
    <mergeCell ref="J104:K104"/>
    <mergeCell ref="C105:D105"/>
    <mergeCell ref="J109:K109"/>
    <mergeCell ref="G103:H103"/>
    <mergeCell ref="A283:I283"/>
    <mergeCell ref="A284:I284"/>
    <mergeCell ref="A285:I285"/>
    <mergeCell ref="I278:J278"/>
    <mergeCell ref="I279:J279"/>
    <mergeCell ref="A280:I280"/>
    <mergeCell ref="J280:K280"/>
    <mergeCell ref="I268:J268"/>
    <mergeCell ref="I269:J269"/>
    <mergeCell ref="F268:G268"/>
    <mergeCell ref="F269:G269"/>
    <mergeCell ref="D268:E268"/>
    <mergeCell ref="D269:E269"/>
    <mergeCell ref="A268:B268"/>
    <mergeCell ref="A269:B269"/>
    <mergeCell ref="J285:K287"/>
    <mergeCell ref="J282:K283"/>
    <mergeCell ref="J284:K284"/>
    <mergeCell ref="A270:I270"/>
    <mergeCell ref="J270:K272"/>
    <mergeCell ref="A281:I281"/>
    <mergeCell ref="J281:K281"/>
    <mergeCell ref="A282:I282"/>
    <mergeCell ref="A286:I287"/>
    <mergeCell ref="O279:P279"/>
    <mergeCell ref="Q279:R279"/>
    <mergeCell ref="O276:R277"/>
    <mergeCell ref="C276:H276"/>
    <mergeCell ref="A276:B278"/>
    <mergeCell ref="A273:A275"/>
    <mergeCell ref="C279:D279"/>
    <mergeCell ref="I276:N276"/>
    <mergeCell ref="I277:J277"/>
    <mergeCell ref="Q278:R278"/>
    <mergeCell ref="O278:P278"/>
    <mergeCell ref="K277:L278"/>
    <mergeCell ref="M277:N278"/>
    <mergeCell ref="M279:N279"/>
    <mergeCell ref="A279:B279"/>
    <mergeCell ref="C277:D277"/>
    <mergeCell ref="C278:D278"/>
    <mergeCell ref="K279:L279"/>
    <mergeCell ref="E279:F279"/>
    <mergeCell ref="E277:F278"/>
    <mergeCell ref="G279:H279"/>
    <mergeCell ref="G277:H278"/>
    <mergeCell ref="M268:N268"/>
    <mergeCell ref="M269:N269"/>
    <mergeCell ref="K269:L269"/>
    <mergeCell ref="K264:L264"/>
    <mergeCell ref="I261:J261"/>
    <mergeCell ref="K261:L261"/>
    <mergeCell ref="I262:J262"/>
    <mergeCell ref="K262:L262"/>
    <mergeCell ref="I263:J263"/>
    <mergeCell ref="K263:L263"/>
    <mergeCell ref="I264:J264"/>
    <mergeCell ref="K268:L268"/>
    <mergeCell ref="I266:J266"/>
    <mergeCell ref="K266:L266"/>
    <mergeCell ref="I265:J265"/>
    <mergeCell ref="F267:G267"/>
    <mergeCell ref="I267:J267"/>
    <mergeCell ref="K267:L267"/>
    <mergeCell ref="F260:G260"/>
    <mergeCell ref="D260:E260"/>
    <mergeCell ref="A260:B260"/>
    <mergeCell ref="K265:L265"/>
    <mergeCell ref="M265:N265"/>
    <mergeCell ref="M266:N266"/>
    <mergeCell ref="M267:N267"/>
    <mergeCell ref="D263:E263"/>
    <mergeCell ref="D264:E264"/>
    <mergeCell ref="A261:B261"/>
    <mergeCell ref="A265:B265"/>
    <mergeCell ref="A266:B266"/>
    <mergeCell ref="M258:N259"/>
    <mergeCell ref="I260:J260"/>
    <mergeCell ref="K260:L260"/>
    <mergeCell ref="A262:B262"/>
    <mergeCell ref="A263:B263"/>
    <mergeCell ref="A264:B264"/>
    <mergeCell ref="D259:E259"/>
    <mergeCell ref="F261:G261"/>
    <mergeCell ref="F262:G262"/>
    <mergeCell ref="F263:G263"/>
    <mergeCell ref="M261:N261"/>
    <mergeCell ref="M262:N262"/>
    <mergeCell ref="M263:N263"/>
    <mergeCell ref="M264:N264"/>
    <mergeCell ref="F264:G264"/>
    <mergeCell ref="M260:N260"/>
    <mergeCell ref="E215:K215"/>
    <mergeCell ref="C211:D211"/>
    <mergeCell ref="A195:B195"/>
    <mergeCell ref="A220:I220"/>
    <mergeCell ref="J220:K222"/>
    <mergeCell ref="H227:I228"/>
    <mergeCell ref="E219:K219"/>
    <mergeCell ref="B172:K172"/>
    <mergeCell ref="H178:K178"/>
    <mergeCell ref="H179:K179"/>
    <mergeCell ref="H180:K180"/>
    <mergeCell ref="E178:G178"/>
    <mergeCell ref="E179:G179"/>
    <mergeCell ref="E180:G180"/>
    <mergeCell ref="E194:G194"/>
    <mergeCell ref="H193:K193"/>
    <mergeCell ref="C192:D192"/>
    <mergeCell ref="C187:D187"/>
    <mergeCell ref="C194:D194"/>
    <mergeCell ref="E192:G192"/>
    <mergeCell ref="H192:K192"/>
    <mergeCell ref="A178:B178"/>
    <mergeCell ref="A181:B181"/>
    <mergeCell ref="E190:G190"/>
    <mergeCell ref="C195:D195"/>
    <mergeCell ref="A198:B198"/>
    <mergeCell ref="C198:D198"/>
    <mergeCell ref="A199:B199"/>
    <mergeCell ref="C199:D199"/>
    <mergeCell ref="B203:K204"/>
    <mergeCell ref="E195:G195"/>
    <mergeCell ref="H195:K195"/>
    <mergeCell ref="E196:G196"/>
    <mergeCell ref="H196:K196"/>
    <mergeCell ref="C155:D155"/>
    <mergeCell ref="A164:B164"/>
    <mergeCell ref="C164:D164"/>
    <mergeCell ref="J165:K167"/>
    <mergeCell ref="A165:I165"/>
    <mergeCell ref="A160:B160"/>
    <mergeCell ref="A162:B162"/>
    <mergeCell ref="A161:B161"/>
    <mergeCell ref="C156:D156"/>
    <mergeCell ref="A157:B157"/>
    <mergeCell ref="C157:D157"/>
    <mergeCell ref="E157:G157"/>
    <mergeCell ref="H157:K157"/>
    <mergeCell ref="E158:G158"/>
    <mergeCell ref="A166:I167"/>
    <mergeCell ref="H155:K155"/>
    <mergeCell ref="E164:G164"/>
    <mergeCell ref="H164:K164"/>
    <mergeCell ref="E159:G159"/>
    <mergeCell ref="H159:K159"/>
    <mergeCell ref="E155:G155"/>
    <mergeCell ref="E156:G156"/>
    <mergeCell ref="A158:B158"/>
    <mergeCell ref="C158:D158"/>
    <mergeCell ref="A159:B159"/>
    <mergeCell ref="H156:K156"/>
    <mergeCell ref="A240:I240"/>
    <mergeCell ref="A241:I241"/>
    <mergeCell ref="A242:I242"/>
    <mergeCell ref="A243:I243"/>
    <mergeCell ref="A244:I244"/>
    <mergeCell ref="A200:I200"/>
    <mergeCell ref="J200:K202"/>
    <mergeCell ref="E198:G198"/>
    <mergeCell ref="H198:K198"/>
    <mergeCell ref="C183:D183"/>
    <mergeCell ref="A182:B182"/>
    <mergeCell ref="B175:K175"/>
    <mergeCell ref="B176:K176"/>
    <mergeCell ref="E217:K217"/>
    <mergeCell ref="A196:B196"/>
    <mergeCell ref="C196:D196"/>
    <mergeCell ref="A197:B197"/>
    <mergeCell ref="E193:G193"/>
    <mergeCell ref="H197:K197"/>
    <mergeCell ref="A189:B189"/>
    <mergeCell ref="B205:K205"/>
    <mergeCell ref="H189:K189"/>
    <mergeCell ref="B245:K245"/>
    <mergeCell ref="J248:K252"/>
    <mergeCell ref="D258:E258"/>
    <mergeCell ref="C258:C259"/>
    <mergeCell ref="A253:A254"/>
    <mergeCell ref="A248:I248"/>
    <mergeCell ref="A249:I249"/>
    <mergeCell ref="A250:I250"/>
    <mergeCell ref="A251:I251"/>
    <mergeCell ref="A252:I252"/>
    <mergeCell ref="A245:A247"/>
    <mergeCell ref="A258:B259"/>
    <mergeCell ref="A255:K255"/>
    <mergeCell ref="K258:L259"/>
    <mergeCell ref="H258:H259"/>
    <mergeCell ref="I258:J259"/>
    <mergeCell ref="F258:G259"/>
    <mergeCell ref="B247:K247"/>
    <mergeCell ref="B253:K254"/>
    <mergeCell ref="A256:K257"/>
    <mergeCell ref="L236:O236"/>
    <mergeCell ref="L234:O234"/>
    <mergeCell ref="L235:O235"/>
    <mergeCell ref="B42:J42"/>
    <mergeCell ref="B44:L44"/>
    <mergeCell ref="B43:L43"/>
    <mergeCell ref="B49:J50"/>
    <mergeCell ref="A55:L55"/>
    <mergeCell ref="A80:L80"/>
    <mergeCell ref="A69:L69"/>
    <mergeCell ref="K70:L70"/>
    <mergeCell ref="K71:L71"/>
    <mergeCell ref="B70:J71"/>
    <mergeCell ref="A70:A74"/>
    <mergeCell ref="A62:D62"/>
    <mergeCell ref="A63:D63"/>
    <mergeCell ref="A64:D64"/>
    <mergeCell ref="E216:K216"/>
    <mergeCell ref="B223:I224"/>
    <mergeCell ref="B83:L83"/>
    <mergeCell ref="B84:L84"/>
    <mergeCell ref="B85:L85"/>
    <mergeCell ref="A156:B156"/>
    <mergeCell ref="A155:B155"/>
  </mergeCells>
  <conditionalFormatting sqref="H229:I229 L229:M229">
    <cfRule type="cellIs" dxfId="27" priority="5" operator="lessThan">
      <formula>0</formula>
    </cfRule>
    <cfRule type="cellIs" dxfId="26" priority="9" operator="lessThan">
      <formula>0</formula>
    </cfRule>
  </conditionalFormatting>
  <conditionalFormatting sqref="K98:L98">
    <cfRule type="cellIs" dxfId="25" priority="1" operator="lessThan">
      <formula>0</formula>
    </cfRule>
  </conditionalFormatting>
  <dataValidations xWindow="748" yWindow="467" count="19">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200-000000000000}">
      <formula1>1</formula1>
    </dataValidation>
    <dataValidation type="list" allowBlank="1" showInputMessage="1" showErrorMessage="1" sqref="J248:K252 J239 G22 J281:K281 B22 K45:L47 K10:L13 J26:K32" xr:uid="{00000000-0002-0000-0200-000001000000}">
      <formula1>"Y,N,NA"</formula1>
    </dataValidation>
    <dataValidation type="list" allowBlank="1" showInputMessage="1" showErrorMessage="1" sqref="B229" xr:uid="{00000000-0002-0000-0200-000002000000}">
      <formula1>"DEATH,DISCHARGE"</formula1>
    </dataValidation>
    <dataValidation type="list" allowBlank="1" showInputMessage="1" showErrorMessage="1" sqref="J122:K122 J169:K169 J134:K134 J146:K146 J224:K224 K42:L42 K7:L7 J35:K38 K76:L76 K50:L50 K71:L71 E66:G66 J99:L100" xr:uid="{00000000-0002-0000-0200-000003000000}">
      <formula1>"Y,N"</formula1>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200-000004000000}">
      <formula1>0</formula1>
    </dataValidation>
    <dataValidation type="whole" allowBlank="1" showInputMessage="1" showErrorMessage="1" sqref="C260:C269" xr:uid="{00000000-0002-0000-0200-000005000000}">
      <formula1>1</formula1>
      <formula2>999</formula2>
    </dataValidation>
    <dataValidation type="whole" operator="greaterThan" allowBlank="1" showInputMessage="1" showErrorMessage="1" sqref="A103:A112 E103:E112" xr:uid="{00000000-0002-0000-0200-000006000000}">
      <formula1>0</formula1>
    </dataValidation>
    <dataValidation type="whole" allowBlank="1" showInputMessage="1" showErrorMessage="1" sqref="A2" xr:uid="{00000000-0002-0000-0200-000007000000}">
      <formula1>1</formula1>
      <formula2>99</formula2>
    </dataValidation>
    <dataValidation type="textLength" operator="greaterThan" allowBlank="1" showInputMessage="1" showErrorMessage="1" sqref="D3:D4" xr:uid="{00000000-0002-0000-0200-000008000000}">
      <formula1>1</formula1>
    </dataValidation>
    <dataValidation type="list" allowBlank="1" showInputMessage="1" showErrorMessage="1" sqref="D2:E2" xr:uid="{00000000-0002-0000-0200-000009000000}">
      <formula1>"CCAD-AFC,CBA-AFC"</formula1>
    </dataValidation>
    <dataValidation type="textLength" operator="lessThanOrEqual" allowBlank="1" showInputMessage="1" showErrorMessage="1" sqref="A20:K20" xr:uid="{00000000-0002-0000-0200-00000A000000}">
      <formula1>1024</formula1>
    </dataValidation>
    <dataValidation type="textLength" operator="lessThanOrEqual" allowBlank="1" showInputMessage="1" showErrorMessage="1" sqref="O279:R279" xr:uid="{00000000-0002-0000-0200-00000B000000}">
      <formula1>255</formula1>
    </dataValidation>
    <dataValidation type="list" allowBlank="1" showInputMessage="1" showErrorMessage="1" promptTitle="X.6.a Entry Guidance" prompt="X.6.a cannot be &quot;NA&quot; if Column D above (Total Refund Due) is greater than $0.00." sqref="J230:K230" xr:uid="{00000000-0002-0000-0200-00000C000000}">
      <formula1>"Y,N,NA"</formula1>
    </dataValidation>
    <dataValidation type="date" operator="greaterThanOrEqual" allowBlank="1" showInputMessage="1" showErrorMessage="1" sqref="M260:N269" xr:uid="{00000000-0002-0000-0200-00000D000000}">
      <formula1>K260</formula1>
    </dataValidation>
    <dataValidation type="date" allowBlank="1" showInputMessage="1" showErrorMessage="1" errorTitle="Date Error" error="Date must be within Dates of Review Period." sqref="E22" xr:uid="{00000000-0002-0000-0200-00000E000000}">
      <formula1>#REF!</formula1>
      <formula2>K2</formula2>
    </dataValidation>
    <dataValidation type="date" allowBlank="1" showInputMessage="1" showErrorMessage="1" errorTitle="Date Error" error="Date must be within Dates of Review Period." sqref="J22:K22" xr:uid="{00000000-0002-0000-0200-00000F000000}">
      <formula1>H2</formula1>
      <formula2>K2</formula2>
    </dataValidation>
    <dataValidation type="date" allowBlank="1" showInputMessage="1" showErrorMessage="1" errorTitle="Date Error" error="Date must be within Dates of Review Period." sqref="I22" xr:uid="{00000000-0002-0000-0200-000010000000}">
      <formula1>G2</formula1>
      <formula2>I2</formula2>
    </dataValidation>
    <dataValidation type="date" allowBlank="1" showInputMessage="1" showErrorMessage="1" errorTitle="Date Error" error="Date must be within Dates of Review Period." sqref="D22" xr:uid="{00000000-0002-0000-0200-000011000000}">
      <formula1>G2</formula1>
      <formula2>I2</formula2>
    </dataValidation>
    <dataValidation operator="greaterThanOrEqual" allowBlank="1" showInputMessage="1" showErrorMessage="1" sqref="D128:E128 I128:K128 D140:E140 I140:K140" xr:uid="{00000000-0002-0000-0200-000012000000}"/>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33" r:id="rId6" name="Check Box 9">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dimension ref="A1:U289"/>
  <sheetViews>
    <sheetView zoomScaleNormal="100" workbookViewId="0">
      <selection activeCell="D2" sqref="D2:E2"/>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2</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EVOklX4jVPGXBm7m36VYw3g9vRidxb5cHlWEsiAV7LDJ+yl1DQx1Xthh77ooa6XSAI+sfPF0YIHTpgdXp0CCNA==" saltValue="54sAREnwDlHi1y3Co2NpwA=="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24" priority="2" operator="lessThan">
      <formula>0</formula>
    </cfRule>
    <cfRule type="cellIs" dxfId="23" priority="3" operator="lessThan">
      <formula>0</formula>
    </cfRule>
  </conditionalFormatting>
  <conditionalFormatting sqref="K98:L98">
    <cfRule type="cellIs" dxfId="22" priority="1" operator="lessThan">
      <formula>0</formula>
    </cfRule>
  </conditionalFormatting>
  <dataValidations count="19">
    <dataValidation operator="greaterThanOrEqual" allowBlank="1" showInputMessage="1" showErrorMessage="1" sqref="D128:E128 I128:K128 D140:E140 I140:K140" xr:uid="{00000000-0002-0000-0300-000000000000}"/>
    <dataValidation type="date" allowBlank="1" showInputMessage="1" showErrorMessage="1" errorTitle="Date Error" error="Date must be within Dates of Review Period." sqref="D22" xr:uid="{00000000-0002-0000-0300-000001000000}">
      <formula1>G2</formula1>
      <formula2>I2</formula2>
    </dataValidation>
    <dataValidation type="date" allowBlank="1" showInputMessage="1" showErrorMessage="1" errorTitle="Date Error" error="Date must be within Dates of Review Period." sqref="I22" xr:uid="{00000000-0002-0000-0300-000002000000}">
      <formula1>G2</formula1>
      <formula2>I2</formula2>
    </dataValidation>
    <dataValidation type="date" allowBlank="1" showInputMessage="1" showErrorMessage="1" errorTitle="Date Error" error="Date must be within Dates of Review Period." sqref="J22:K22" xr:uid="{00000000-0002-0000-0300-000003000000}">
      <formula1>H2</formula1>
      <formula2>K2</formula2>
    </dataValidation>
    <dataValidation type="date" allowBlank="1" showInputMessage="1" showErrorMessage="1" errorTitle="Date Error" error="Date must be within Dates of Review Period." sqref="E22" xr:uid="{00000000-0002-0000-0300-000004000000}">
      <formula1>#REF!</formula1>
      <formula2>K2</formula2>
    </dataValidation>
    <dataValidation type="date" operator="greaterThanOrEqual" allowBlank="1" showInputMessage="1" showErrorMessage="1" sqref="M260:N269" xr:uid="{00000000-0002-0000-0300-000005000000}">
      <formula1>K260</formula1>
    </dataValidation>
    <dataValidation type="list" allowBlank="1" showInputMessage="1" showErrorMessage="1" promptTitle="X.6.a Entry Guidance" prompt="X.6.a cannot be &quot;NA&quot; if Column D above (Total Refund Due) is greater than $0.00." sqref="J230:K230" xr:uid="{00000000-0002-0000-0300-000006000000}">
      <formula1>"Y,N,NA"</formula1>
    </dataValidation>
    <dataValidation type="textLength" operator="lessThanOrEqual" allowBlank="1" showInputMessage="1" showErrorMessage="1" sqref="O279:R279" xr:uid="{00000000-0002-0000-0300-000007000000}">
      <formula1>255</formula1>
    </dataValidation>
    <dataValidation type="textLength" operator="lessThanOrEqual" allowBlank="1" showInputMessage="1" showErrorMessage="1" sqref="A20:K20" xr:uid="{00000000-0002-0000-0300-000008000000}">
      <formula1>1024</formula1>
    </dataValidation>
    <dataValidation type="list" allowBlank="1" showInputMessage="1" showErrorMessage="1" sqref="D2:E2" xr:uid="{00000000-0002-0000-0300-000009000000}">
      <formula1>"CCAD-AFC,CBA-AFC"</formula1>
    </dataValidation>
    <dataValidation type="textLength" operator="greaterThan" allowBlank="1" showInputMessage="1" showErrorMessage="1" sqref="D3:D4" xr:uid="{00000000-0002-0000-0300-00000A000000}">
      <formula1>1</formula1>
    </dataValidation>
    <dataValidation type="whole" allowBlank="1" showInputMessage="1" showErrorMessage="1" sqref="A2" xr:uid="{00000000-0002-0000-0300-00000B000000}">
      <formula1>1</formula1>
      <formula2>99</formula2>
    </dataValidation>
    <dataValidation type="whole" operator="greaterThan" allowBlank="1" showInputMessage="1" showErrorMessage="1" sqref="A103:A112 E103:E112" xr:uid="{00000000-0002-0000-0300-00000C000000}">
      <formula1>0</formula1>
    </dataValidation>
    <dataValidation type="whole" allowBlank="1" showInputMessage="1" showErrorMessage="1" sqref="C260:C269" xr:uid="{00000000-0002-0000-03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300-00000E000000}">
      <formula1>0</formula1>
    </dataValidation>
    <dataValidation type="list" allowBlank="1" showInputMessage="1" showErrorMessage="1" sqref="J122:K122 J169:K169 J134:K134 J146:K146 J224:K224 K42:L42 K7:L7 J35:K38 K76:L76 K50:L50 K71:L71 E66:G66 J99:L100" xr:uid="{00000000-0002-0000-0300-00000F000000}">
      <formula1>"Y,N"</formula1>
    </dataValidation>
    <dataValidation type="list" allowBlank="1" showInputMessage="1" showErrorMessage="1" sqref="B229" xr:uid="{00000000-0002-0000-0300-000010000000}">
      <formula1>"DEATH,DISCHARGE"</formula1>
    </dataValidation>
    <dataValidation type="list" allowBlank="1" showInputMessage="1" showErrorMessage="1" sqref="J248:K252 J239 G22 J281:K281 B22 K45:L47 K10:L13 J26:K32" xr:uid="{00000000-0002-0000-03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3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7041"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7042"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7043"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7044"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7045"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7046"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7047"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7048"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7049"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7050"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7051"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7052"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7053"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A1:U289"/>
  <sheetViews>
    <sheetView zoomScaleNormal="100" workbookViewId="0">
      <selection activeCell="D2" sqref="D2:E2"/>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3</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B6R2KeVVwYNGbVQIq++iYQBMMVeCt2x6LsYgZPbkwGHDZjqJT378TzEPFEwdfpsyLzKzbqcbVS6E3lv948hP1A==" saltValue="g+gcRRG7vxN+l7aYQ5mlyg=="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21" priority="2" operator="lessThan">
      <formula>0</formula>
    </cfRule>
    <cfRule type="cellIs" dxfId="20" priority="3" operator="lessThan">
      <formula>0</formula>
    </cfRule>
  </conditionalFormatting>
  <conditionalFormatting sqref="K98:L98">
    <cfRule type="cellIs" dxfId="19" priority="1" operator="lessThan">
      <formula>0</formula>
    </cfRule>
  </conditionalFormatting>
  <dataValidations count="19">
    <dataValidation operator="greaterThanOrEqual" allowBlank="1" showInputMessage="1" showErrorMessage="1" sqref="D128:E128 I128:K128 D140:E140 I140:K140" xr:uid="{00000000-0002-0000-0400-000000000000}"/>
    <dataValidation type="date" allowBlank="1" showInputMessage="1" showErrorMessage="1" errorTitle="Date Error" error="Date must be within Dates of Review Period." sqref="D22" xr:uid="{00000000-0002-0000-0400-000001000000}">
      <formula1>G2</formula1>
      <formula2>I2</formula2>
    </dataValidation>
    <dataValidation type="date" allowBlank="1" showInputMessage="1" showErrorMessage="1" errorTitle="Date Error" error="Date must be within Dates of Review Period." sqref="I22" xr:uid="{00000000-0002-0000-0400-000002000000}">
      <formula1>G2</formula1>
      <formula2>I2</formula2>
    </dataValidation>
    <dataValidation type="date" allowBlank="1" showInputMessage="1" showErrorMessage="1" errorTitle="Date Error" error="Date must be within Dates of Review Period." sqref="J22:K22" xr:uid="{00000000-0002-0000-0400-000003000000}">
      <formula1>H2</formula1>
      <formula2>K2</formula2>
    </dataValidation>
    <dataValidation type="date" allowBlank="1" showInputMessage="1" showErrorMessage="1" errorTitle="Date Error" error="Date must be within Dates of Review Period." sqref="E22" xr:uid="{00000000-0002-0000-0400-000004000000}">
      <formula1>#REF!</formula1>
      <formula2>K2</formula2>
    </dataValidation>
    <dataValidation type="date" operator="greaterThanOrEqual" allowBlank="1" showInputMessage="1" showErrorMessage="1" sqref="M260:N269" xr:uid="{00000000-0002-0000-0400-000005000000}">
      <formula1>K260</formula1>
    </dataValidation>
    <dataValidation type="list" allowBlank="1" showInputMessage="1" showErrorMessage="1" promptTitle="X.6.a Entry Guidance" prompt="X.6.a cannot be &quot;NA&quot; if Column D above (Total Refund Due) is greater than $0.00." sqref="J230:K230" xr:uid="{00000000-0002-0000-0400-000006000000}">
      <formula1>"Y,N,NA"</formula1>
    </dataValidation>
    <dataValidation type="textLength" operator="lessThanOrEqual" allowBlank="1" showInputMessage="1" showErrorMessage="1" sqref="O279:R279" xr:uid="{00000000-0002-0000-0400-000007000000}">
      <formula1>255</formula1>
    </dataValidation>
    <dataValidation type="textLength" operator="lessThanOrEqual" allowBlank="1" showInputMessage="1" showErrorMessage="1" sqref="A20:K20" xr:uid="{00000000-0002-0000-0400-000008000000}">
      <formula1>1024</formula1>
    </dataValidation>
    <dataValidation type="list" allowBlank="1" showInputMessage="1" showErrorMessage="1" sqref="D2:E2" xr:uid="{00000000-0002-0000-0400-000009000000}">
      <formula1>"CCAD-AFC,CBA-AFC"</formula1>
    </dataValidation>
    <dataValidation type="textLength" operator="greaterThan" allowBlank="1" showInputMessage="1" showErrorMessage="1" sqref="D3:D4" xr:uid="{00000000-0002-0000-0400-00000A000000}">
      <formula1>1</formula1>
    </dataValidation>
    <dataValidation type="whole" allowBlank="1" showInputMessage="1" showErrorMessage="1" sqref="A2" xr:uid="{00000000-0002-0000-0400-00000B000000}">
      <formula1>1</formula1>
      <formula2>99</formula2>
    </dataValidation>
    <dataValidation type="whole" operator="greaterThan" allowBlank="1" showInputMessage="1" showErrorMessage="1" sqref="A103:A112 E103:E112" xr:uid="{00000000-0002-0000-0400-00000C000000}">
      <formula1>0</formula1>
    </dataValidation>
    <dataValidation type="whole" allowBlank="1" showInputMessage="1" showErrorMessage="1" sqref="C260:C269" xr:uid="{00000000-0002-0000-04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400-00000E000000}">
      <formula1>0</formula1>
    </dataValidation>
    <dataValidation type="list" allowBlank="1" showInputMessage="1" showErrorMessage="1" sqref="J122:K122 J169:K169 J134:K134 J146:K146 J224:K224 K42:L42 K7:L7 J35:K38 K76:L76 K50:L50 K71:L71 E66:G66 J99:L100" xr:uid="{00000000-0002-0000-0400-00000F000000}">
      <formula1>"Y,N"</formula1>
    </dataValidation>
    <dataValidation type="list" allowBlank="1" showInputMessage="1" showErrorMessage="1" sqref="B229" xr:uid="{00000000-0002-0000-0400-000010000000}">
      <formula1>"DEATH,DISCHARGE"</formula1>
    </dataValidation>
    <dataValidation type="list" allowBlank="1" showInputMessage="1" showErrorMessage="1" sqref="J248:K252 J239 G22 J281:K281 B22 K45:L47 K10:L13 J26:K32" xr:uid="{00000000-0002-0000-04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4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6017"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6018"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6019"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6020"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6021"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6022"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6023"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6024"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6025"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6026"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6027"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6028"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6029"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dimension ref="A1:U289"/>
  <sheetViews>
    <sheetView zoomScaleNormal="100" workbookViewId="0">
      <selection activeCell="D2" sqref="D2:E2"/>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4</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JEH5ErJ8CW0ZCjFbE7axA9wPfVzytVf6GlxBtlDahDAccoCPDVX6V4MutbIYyNkZY/0jzQwSSDTEBtHZHJiV4g==" saltValue="oyLVXqcXXOKerOzzCcIWPw=="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18" priority="2" operator="lessThan">
      <formula>0</formula>
    </cfRule>
    <cfRule type="cellIs" dxfId="17" priority="3" operator="lessThan">
      <formula>0</formula>
    </cfRule>
  </conditionalFormatting>
  <conditionalFormatting sqref="K98:L98">
    <cfRule type="cellIs" dxfId="16" priority="1" operator="lessThan">
      <formula>0</formula>
    </cfRule>
  </conditionalFormatting>
  <dataValidations count="19">
    <dataValidation operator="greaterThanOrEqual" allowBlank="1" showInputMessage="1" showErrorMessage="1" sqref="D128:E128 I128:K128 D140:E140 I140:K140" xr:uid="{00000000-0002-0000-0500-000000000000}"/>
    <dataValidation type="date" allowBlank="1" showInputMessage="1" showErrorMessage="1" errorTitle="Date Error" error="Date must be within Dates of Review Period." sqref="D22" xr:uid="{00000000-0002-0000-0500-000001000000}">
      <formula1>G2</formula1>
      <formula2>I2</formula2>
    </dataValidation>
    <dataValidation type="date" allowBlank="1" showInputMessage="1" showErrorMessage="1" errorTitle="Date Error" error="Date must be within Dates of Review Period." sqref="I22" xr:uid="{00000000-0002-0000-0500-000002000000}">
      <formula1>G2</formula1>
      <formula2>I2</formula2>
    </dataValidation>
    <dataValidation type="date" allowBlank="1" showInputMessage="1" showErrorMessage="1" errorTitle="Date Error" error="Date must be within Dates of Review Period." sqref="J22:K22" xr:uid="{00000000-0002-0000-0500-000003000000}">
      <formula1>H2</formula1>
      <formula2>K2</formula2>
    </dataValidation>
    <dataValidation type="date" allowBlank="1" showInputMessage="1" showErrorMessage="1" errorTitle="Date Error" error="Date must be within Dates of Review Period." sqref="E22" xr:uid="{00000000-0002-0000-0500-000004000000}">
      <formula1>#REF!</formula1>
      <formula2>K2</formula2>
    </dataValidation>
    <dataValidation type="date" operator="greaterThanOrEqual" allowBlank="1" showInputMessage="1" showErrorMessage="1" sqref="M260:N269" xr:uid="{00000000-0002-0000-0500-000005000000}">
      <formula1>K260</formula1>
    </dataValidation>
    <dataValidation type="list" allowBlank="1" showInputMessage="1" showErrorMessage="1" promptTitle="X.6.a Entry Guidance" prompt="X.6.a cannot be &quot;NA&quot; if Column D above (Total Refund Due) is greater than $0.00." sqref="J230:K230" xr:uid="{00000000-0002-0000-0500-000006000000}">
      <formula1>"Y,N,NA"</formula1>
    </dataValidation>
    <dataValidation type="textLength" operator="lessThanOrEqual" allowBlank="1" showInputMessage="1" showErrorMessage="1" sqref="O279:R279" xr:uid="{00000000-0002-0000-0500-000007000000}">
      <formula1>255</formula1>
    </dataValidation>
    <dataValidation type="textLength" operator="lessThanOrEqual" allowBlank="1" showInputMessage="1" showErrorMessage="1" sqref="A20:K20" xr:uid="{00000000-0002-0000-0500-000008000000}">
      <formula1>1024</formula1>
    </dataValidation>
    <dataValidation type="list" allowBlank="1" showInputMessage="1" showErrorMessage="1" sqref="D2:E2" xr:uid="{00000000-0002-0000-0500-000009000000}">
      <formula1>"CCAD-AFC,CBA-AFC"</formula1>
    </dataValidation>
    <dataValidation type="textLength" operator="greaterThan" allowBlank="1" showInputMessage="1" showErrorMessage="1" sqref="D3:D4" xr:uid="{00000000-0002-0000-0500-00000A000000}">
      <formula1>1</formula1>
    </dataValidation>
    <dataValidation type="whole" allowBlank="1" showInputMessage="1" showErrorMessage="1" sqref="A2" xr:uid="{00000000-0002-0000-0500-00000B000000}">
      <formula1>1</formula1>
      <formula2>99</formula2>
    </dataValidation>
    <dataValidation type="whole" operator="greaterThan" allowBlank="1" showInputMessage="1" showErrorMessage="1" sqref="A103:A112 E103:E112" xr:uid="{00000000-0002-0000-0500-00000C000000}">
      <formula1>0</formula1>
    </dataValidation>
    <dataValidation type="whole" allowBlank="1" showInputMessage="1" showErrorMessage="1" sqref="C260:C269" xr:uid="{00000000-0002-0000-05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500-00000E000000}">
      <formula1>0</formula1>
    </dataValidation>
    <dataValidation type="list" allowBlank="1" showInputMessage="1" showErrorMessage="1" sqref="J122:K122 J169:K169 J134:K134 J146:K146 J224:K224 K42:L42 K7:L7 J35:K38 K76:L76 K50:L50 K71:L71 E66:G66 J99:L100" xr:uid="{00000000-0002-0000-0500-00000F000000}">
      <formula1>"Y,N"</formula1>
    </dataValidation>
    <dataValidation type="list" allowBlank="1" showInputMessage="1" showErrorMessage="1" sqref="B229" xr:uid="{00000000-0002-0000-0500-000010000000}">
      <formula1>"DEATH,DISCHARGE"</formula1>
    </dataValidation>
    <dataValidation type="list" allowBlank="1" showInputMessage="1" showErrorMessage="1" sqref="J248:K252 J239 G22 J281:K281 B22 K45:L47 K10:L13 J26:K32" xr:uid="{00000000-0002-0000-05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5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4993"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4994"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4995"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4996"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4997"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4998"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4999"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5000"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5001"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5002"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5003"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5004"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5005"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dimension ref="A1:U289"/>
  <sheetViews>
    <sheetView zoomScaleNormal="100" workbookViewId="0">
      <selection activeCell="D3" sqref="D3:G3"/>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5</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30h8rgRQjZSvseTiUgLcx+ITh4Bi/6g4VV2jpp71E6EQYH0m0Oes48Jja8RaCRHGhIBy99roltIaTc5iSDk1JA==" saltValue="JqgNNbTdS3V0XQ4WbRBJxA=="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15" priority="2" operator="lessThan">
      <formula>0</formula>
    </cfRule>
    <cfRule type="cellIs" dxfId="14" priority="3" operator="lessThan">
      <formula>0</formula>
    </cfRule>
  </conditionalFormatting>
  <conditionalFormatting sqref="K98:L98">
    <cfRule type="cellIs" dxfId="13" priority="1" operator="lessThan">
      <formula>0</formula>
    </cfRule>
  </conditionalFormatting>
  <dataValidations count="19">
    <dataValidation operator="greaterThanOrEqual" allowBlank="1" showInputMessage="1" showErrorMessage="1" sqref="D128:E128 I128:K128 D140:E140 I140:K140" xr:uid="{00000000-0002-0000-0600-000000000000}"/>
    <dataValidation type="date" allowBlank="1" showInputMessage="1" showErrorMessage="1" errorTitle="Date Error" error="Date must be within Dates of Review Period." sqref="D22" xr:uid="{00000000-0002-0000-0600-000001000000}">
      <formula1>G2</formula1>
      <formula2>I2</formula2>
    </dataValidation>
    <dataValidation type="date" allowBlank="1" showInputMessage="1" showErrorMessage="1" errorTitle="Date Error" error="Date must be within Dates of Review Period." sqref="I22" xr:uid="{00000000-0002-0000-0600-000002000000}">
      <formula1>G2</formula1>
      <formula2>I2</formula2>
    </dataValidation>
    <dataValidation type="date" allowBlank="1" showInputMessage="1" showErrorMessage="1" errorTitle="Date Error" error="Date must be within Dates of Review Period." sqref="J22:K22" xr:uid="{00000000-0002-0000-0600-000003000000}">
      <formula1>H2</formula1>
      <formula2>K2</formula2>
    </dataValidation>
    <dataValidation type="date" allowBlank="1" showInputMessage="1" showErrorMessage="1" errorTitle="Date Error" error="Date must be within Dates of Review Period." sqref="E22" xr:uid="{00000000-0002-0000-0600-000004000000}">
      <formula1>#REF!</formula1>
      <formula2>K2</formula2>
    </dataValidation>
    <dataValidation type="date" operator="greaterThanOrEqual" allowBlank="1" showInputMessage="1" showErrorMessage="1" sqref="M260:N269" xr:uid="{00000000-0002-0000-0600-000005000000}">
      <formula1>K260</formula1>
    </dataValidation>
    <dataValidation type="list" allowBlank="1" showInputMessage="1" showErrorMessage="1" promptTitle="X.6.a Entry Guidance" prompt="X.6.a cannot be &quot;NA&quot; if Column D above (Total Refund Due) is greater than $0.00." sqref="J230:K230" xr:uid="{00000000-0002-0000-0600-000006000000}">
      <formula1>"Y,N,NA"</formula1>
    </dataValidation>
    <dataValidation type="textLength" operator="lessThanOrEqual" allowBlank="1" showInputMessage="1" showErrorMessage="1" sqref="O279:R279" xr:uid="{00000000-0002-0000-0600-000007000000}">
      <formula1>255</formula1>
    </dataValidation>
    <dataValidation type="textLength" operator="lessThanOrEqual" allowBlank="1" showInputMessage="1" showErrorMessage="1" sqref="A20:K20" xr:uid="{00000000-0002-0000-0600-000008000000}">
      <formula1>1024</formula1>
    </dataValidation>
    <dataValidation type="list" allowBlank="1" showInputMessage="1" showErrorMessage="1" sqref="D2:E2" xr:uid="{00000000-0002-0000-0600-000009000000}">
      <formula1>"CCAD-AFC,CBA-AFC"</formula1>
    </dataValidation>
    <dataValidation type="textLength" operator="greaterThan" allowBlank="1" showInputMessage="1" showErrorMessage="1" sqref="D3:D4" xr:uid="{00000000-0002-0000-0600-00000A000000}">
      <formula1>1</formula1>
    </dataValidation>
    <dataValidation type="whole" allowBlank="1" showInputMessage="1" showErrorMessage="1" sqref="A2" xr:uid="{00000000-0002-0000-0600-00000B000000}">
      <formula1>1</formula1>
      <formula2>99</formula2>
    </dataValidation>
    <dataValidation type="whole" operator="greaterThan" allowBlank="1" showInputMessage="1" showErrorMessage="1" sqref="A103:A112 E103:E112" xr:uid="{00000000-0002-0000-0600-00000C000000}">
      <formula1>0</formula1>
    </dataValidation>
    <dataValidation type="whole" allowBlank="1" showInputMessage="1" showErrorMessage="1" sqref="C260:C269" xr:uid="{00000000-0002-0000-06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600-00000E000000}">
      <formula1>0</formula1>
    </dataValidation>
    <dataValidation type="list" allowBlank="1" showInputMessage="1" showErrorMessage="1" sqref="J122:K122 J169:K169 J134:K134 J146:K146 J224:K224 K42:L42 K7:L7 J35:K38 K76:L76 K50:L50 K71:L71 E66:G66 J99:L100" xr:uid="{00000000-0002-0000-0600-00000F000000}">
      <formula1>"Y,N"</formula1>
    </dataValidation>
    <dataValidation type="list" allowBlank="1" showInputMessage="1" showErrorMessage="1" sqref="B229" xr:uid="{00000000-0002-0000-0600-000010000000}">
      <formula1>"DEATH,DISCHARGE"</formula1>
    </dataValidation>
    <dataValidation type="list" allowBlank="1" showInputMessage="1" showErrorMessage="1" sqref="J248:K252 J239 G22 J281:K281 B22 K45:L47 K10:L13 J26:K32" xr:uid="{00000000-0002-0000-06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6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3969"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3970"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3971"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3972"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3973"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3974"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3975"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3976"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3977"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3978"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3979"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3980"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3981"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dimension ref="A1:U289"/>
  <sheetViews>
    <sheetView zoomScaleNormal="100" workbookViewId="0">
      <selection activeCell="D2" sqref="D2:E2"/>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6</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mk9VmVSPBhGT8TMEfhH4QrzgTLsc+yEmH7hTkUXVcIxCUZoitxbZB8AYbc6t7KqCh3SpG3VW2EoyNqNQFgw9AA==" saltValue="t9dq4xNqTFrCv/67Nyyhpg=="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12" priority="2" operator="lessThan">
      <formula>0</formula>
    </cfRule>
    <cfRule type="cellIs" dxfId="11" priority="3" operator="lessThan">
      <formula>0</formula>
    </cfRule>
  </conditionalFormatting>
  <conditionalFormatting sqref="K98:L98">
    <cfRule type="cellIs" dxfId="10" priority="1" operator="lessThan">
      <formula>0</formula>
    </cfRule>
  </conditionalFormatting>
  <dataValidations count="19">
    <dataValidation operator="greaterThanOrEqual" allowBlank="1" showInputMessage="1" showErrorMessage="1" sqref="D128:E128 I128:K128 D140:E140 I140:K140" xr:uid="{00000000-0002-0000-0700-000000000000}"/>
    <dataValidation type="date" allowBlank="1" showInputMessage="1" showErrorMessage="1" errorTitle="Date Error" error="Date must be within Dates of Review Period." sqref="D22" xr:uid="{00000000-0002-0000-0700-000001000000}">
      <formula1>G2</formula1>
      <formula2>I2</formula2>
    </dataValidation>
    <dataValidation type="date" allowBlank="1" showInputMessage="1" showErrorMessage="1" errorTitle="Date Error" error="Date must be within Dates of Review Period." sqref="I22" xr:uid="{00000000-0002-0000-0700-000002000000}">
      <formula1>G2</formula1>
      <formula2>I2</formula2>
    </dataValidation>
    <dataValidation type="date" allowBlank="1" showInputMessage="1" showErrorMessage="1" errorTitle="Date Error" error="Date must be within Dates of Review Period." sqref="J22:K22" xr:uid="{00000000-0002-0000-0700-000003000000}">
      <formula1>H2</formula1>
      <formula2>K2</formula2>
    </dataValidation>
    <dataValidation type="date" allowBlank="1" showInputMessage="1" showErrorMessage="1" errorTitle="Date Error" error="Date must be within Dates of Review Period." sqref="E22" xr:uid="{00000000-0002-0000-0700-000004000000}">
      <formula1>#REF!</formula1>
      <formula2>K2</formula2>
    </dataValidation>
    <dataValidation type="date" operator="greaterThanOrEqual" allowBlank="1" showInputMessage="1" showErrorMessage="1" sqref="M260:N269" xr:uid="{00000000-0002-0000-0700-000005000000}">
      <formula1>K260</formula1>
    </dataValidation>
    <dataValidation type="list" allowBlank="1" showInputMessage="1" showErrorMessage="1" promptTitle="X.6.a Entry Guidance" prompt="X.6.a cannot be &quot;NA&quot; if Column D above (Total Refund Due) is greater than $0.00." sqref="J230:K230" xr:uid="{00000000-0002-0000-0700-000006000000}">
      <formula1>"Y,N,NA"</formula1>
    </dataValidation>
    <dataValidation type="textLength" operator="lessThanOrEqual" allowBlank="1" showInputMessage="1" showErrorMessage="1" sqref="O279:R279" xr:uid="{00000000-0002-0000-0700-000007000000}">
      <formula1>255</formula1>
    </dataValidation>
    <dataValidation type="textLength" operator="lessThanOrEqual" allowBlank="1" showInputMessage="1" showErrorMessage="1" sqref="A20:K20" xr:uid="{00000000-0002-0000-0700-000008000000}">
      <formula1>1024</formula1>
    </dataValidation>
    <dataValidation type="list" allowBlank="1" showInputMessage="1" showErrorMessage="1" sqref="D2:E2" xr:uid="{00000000-0002-0000-0700-000009000000}">
      <formula1>"CCAD-AFC,CBA-AFC"</formula1>
    </dataValidation>
    <dataValidation type="textLength" operator="greaterThan" allowBlank="1" showInputMessage="1" showErrorMessage="1" sqref="D3:D4" xr:uid="{00000000-0002-0000-0700-00000A000000}">
      <formula1>1</formula1>
    </dataValidation>
    <dataValidation type="whole" allowBlank="1" showInputMessage="1" showErrorMessage="1" sqref="A2" xr:uid="{00000000-0002-0000-0700-00000B000000}">
      <formula1>1</formula1>
      <formula2>99</formula2>
    </dataValidation>
    <dataValidation type="whole" operator="greaterThan" allowBlank="1" showInputMessage="1" showErrorMessage="1" sqref="A103:A112 E103:E112" xr:uid="{00000000-0002-0000-0700-00000C000000}">
      <formula1>0</formula1>
    </dataValidation>
    <dataValidation type="whole" allowBlank="1" showInputMessage="1" showErrorMessage="1" sqref="C260:C269" xr:uid="{00000000-0002-0000-07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700-00000E000000}">
      <formula1>0</formula1>
    </dataValidation>
    <dataValidation type="list" allowBlank="1" showInputMessage="1" showErrorMessage="1" sqref="J122:K122 J169:K169 J134:K134 J146:K146 J224:K224 K42:L42 K7:L7 J35:K38 K76:L76 K50:L50 K71:L71 E66:G66 J99:L100" xr:uid="{00000000-0002-0000-0700-00000F000000}">
      <formula1>"Y,N"</formula1>
    </dataValidation>
    <dataValidation type="list" allowBlank="1" showInputMessage="1" showErrorMessage="1" sqref="B229" xr:uid="{00000000-0002-0000-0700-000010000000}">
      <formula1>"DEATH,DISCHARGE"</formula1>
    </dataValidation>
    <dataValidation type="list" allowBlank="1" showInputMessage="1" showErrorMessage="1" sqref="J248:K252 J239 G22 J281:K281 B22 K45:L47 K10:L13 J26:K32" xr:uid="{00000000-0002-0000-07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7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2945"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2946"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2947"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2948"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2949"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2950"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2951"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2952"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2953"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2954"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2955"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2956"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2957"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U289"/>
  <sheetViews>
    <sheetView zoomScaleNormal="100" workbookViewId="0">
      <selection activeCell="D2" sqref="D2:E2"/>
    </sheetView>
  </sheetViews>
  <sheetFormatPr defaultColWidth="9.1796875" defaultRowHeight="14.5"/>
  <cols>
    <col min="7" max="7" width="12.81640625" customWidth="1"/>
    <col min="9" max="9" width="12.81640625" customWidth="1"/>
    <col min="14" max="14" width="11.1796875" bestFit="1" customWidth="1"/>
    <col min="17" max="17" width="10.1796875" bestFit="1" customWidth="1"/>
    <col min="18" max="18" width="12.1796875" customWidth="1"/>
    <col min="19" max="19" width="9.1796875" customWidth="1"/>
    <col min="20" max="20" width="9.1796875" hidden="1" customWidth="1"/>
    <col min="21" max="21" width="9.1796875" customWidth="1"/>
  </cols>
  <sheetData>
    <row r="1" spans="1:20" s="14" customFormat="1" ht="27" customHeight="1" thickTop="1" thickBot="1">
      <c r="A1" s="16" t="s">
        <v>41</v>
      </c>
      <c r="B1" s="1031" t="s">
        <v>42</v>
      </c>
      <c r="C1" s="1032"/>
      <c r="D1" s="1029" t="s">
        <v>11</v>
      </c>
      <c r="E1" s="1030"/>
      <c r="F1" s="1029" t="s">
        <v>5</v>
      </c>
      <c r="G1" s="1052"/>
      <c r="H1" s="1052"/>
      <c r="I1" s="1030"/>
      <c r="J1" s="1053" t="s">
        <v>963</v>
      </c>
      <c r="K1" s="1054"/>
      <c r="L1" s="1054"/>
      <c r="M1" s="1055"/>
      <c r="T1" s="14" t="s">
        <v>51</v>
      </c>
    </row>
    <row r="2" spans="1:20" s="207" customFormat="1" ht="29.5" thickBot="1">
      <c r="A2" s="8">
        <v>7</v>
      </c>
      <c r="B2" s="1033" t="str">
        <f ca="1">IF(INDIRECT("'Samples (Print)'!B" &amp; (4+SampleNumber))="","",INDIRECT("'Samples (Print)'!B" &amp; (4+SampleNumber)))</f>
        <v/>
      </c>
      <c r="C2" s="1034"/>
      <c r="D2" s="1050"/>
      <c r="E2" s="1051"/>
      <c r="F2" s="213" t="s">
        <v>8</v>
      </c>
      <c r="G2" s="212" t="str">
        <f ca="1">IF(INDIRECT("'Samples (Print)'!D" &amp; (4+SampleNumber))="","",INDIRECT("'Samples (Print)'!D" &amp; (4+SampleNumber)))</f>
        <v/>
      </c>
      <c r="H2" s="214" t="s">
        <v>10</v>
      </c>
      <c r="I2" s="215" t="str">
        <f ca="1">IF(INDIRECT("'Samples (Print)'!E" &amp; (4+SampleNumber))="","",INDIRECT("'Samples (Print)'!E" &amp; (4+SampleNumber)))</f>
        <v/>
      </c>
      <c r="J2" s="217" t="s">
        <v>961</v>
      </c>
      <c r="K2" s="218"/>
      <c r="L2" s="216" t="s">
        <v>962</v>
      </c>
      <c r="M2" s="219"/>
      <c r="T2" s="208" t="str">
        <f ca="1">IF(INDIRECT("'Samples (Print)'!C" &amp; (4+SampleNumber))="","",INDIRECT("'Samples (Print)'!C" &amp; (4+SampleNumber)))</f>
        <v/>
      </c>
    </row>
    <row r="3" spans="1:20" ht="15" customHeight="1">
      <c r="A3" s="1048" t="s">
        <v>3</v>
      </c>
      <c r="B3" s="1049"/>
      <c r="C3" s="9" t="s">
        <v>43</v>
      </c>
      <c r="D3" s="1042"/>
      <c r="E3" s="1043"/>
      <c r="F3" s="1043"/>
      <c r="G3" s="1044"/>
      <c r="H3" s="1035" t="s">
        <v>44</v>
      </c>
      <c r="I3" s="1036"/>
      <c r="J3" s="1037"/>
      <c r="K3" s="1038"/>
    </row>
    <row r="4" spans="1:20" ht="15" thickBot="1">
      <c r="A4" s="827"/>
      <c r="B4" s="828"/>
      <c r="C4" s="10" t="s">
        <v>45</v>
      </c>
      <c r="D4" s="1045"/>
      <c r="E4" s="1046"/>
      <c r="F4" s="1046"/>
      <c r="G4" s="1047"/>
      <c r="H4" s="1039"/>
      <c r="I4" s="1040"/>
      <c r="J4" s="1040"/>
      <c r="K4" s="1041"/>
      <c r="T4" s="159"/>
    </row>
    <row r="5" spans="1:20" ht="17.25" customHeight="1" thickTop="1" thickBot="1">
      <c r="A5" s="1026" t="s">
        <v>430</v>
      </c>
      <c r="B5" s="1027"/>
      <c r="C5" s="1027"/>
      <c r="D5" s="1027"/>
      <c r="E5" s="1027"/>
      <c r="F5" s="1027"/>
      <c r="G5" s="1027"/>
      <c r="H5" s="1027"/>
      <c r="I5" s="1027"/>
      <c r="J5" s="1027"/>
      <c r="K5" s="1027"/>
      <c r="L5" s="1028"/>
    </row>
    <row r="6" spans="1:20" ht="27.75" customHeight="1" thickTop="1" thickBot="1">
      <c r="A6" s="504" t="s">
        <v>258</v>
      </c>
      <c r="B6" s="1056" t="s">
        <v>947</v>
      </c>
      <c r="C6" s="1057"/>
      <c r="D6" s="1057"/>
      <c r="E6" s="1057"/>
      <c r="F6" s="1057"/>
      <c r="G6" s="1057"/>
      <c r="H6" s="1057"/>
      <c r="I6" s="1057"/>
      <c r="J6" s="1058"/>
      <c r="K6" s="772" t="s">
        <v>415</v>
      </c>
      <c r="L6" s="773"/>
      <c r="T6" s="159"/>
    </row>
    <row r="7" spans="1:20" ht="18" customHeight="1" thickTop="1" thickBot="1">
      <c r="A7" s="505"/>
      <c r="B7" s="1059"/>
      <c r="C7" s="1060"/>
      <c r="D7" s="1060"/>
      <c r="E7" s="1060"/>
      <c r="F7" s="1060"/>
      <c r="G7" s="1060"/>
      <c r="H7" s="1060"/>
      <c r="I7" s="1060"/>
      <c r="J7" s="1061"/>
      <c r="K7" s="751"/>
      <c r="L7" s="752"/>
    </row>
    <row r="8" spans="1:20" ht="15.75" customHeight="1" thickTop="1">
      <c r="A8" s="505"/>
      <c r="B8" s="1062" t="s">
        <v>851</v>
      </c>
      <c r="C8" s="1063"/>
      <c r="D8" s="1063"/>
      <c r="E8" s="1063"/>
      <c r="F8" s="1063"/>
      <c r="G8" s="1063"/>
      <c r="H8" s="1063"/>
      <c r="I8" s="1063"/>
      <c r="J8" s="1063"/>
      <c r="K8" s="1063"/>
      <c r="L8" s="1064"/>
    </row>
    <row r="9" spans="1:20" ht="15.75" customHeight="1" thickBot="1">
      <c r="A9" s="506"/>
      <c r="B9" s="1065"/>
      <c r="C9" s="1066"/>
      <c r="D9" s="1066"/>
      <c r="E9" s="1066"/>
      <c r="F9" s="1066"/>
      <c r="G9" s="1066"/>
      <c r="H9" s="1066"/>
      <c r="I9" s="1066"/>
      <c r="J9" s="1066"/>
      <c r="K9" s="1066"/>
      <c r="L9" s="1067"/>
    </row>
    <row r="10" spans="1:20" ht="15.75" customHeight="1" thickTop="1" thickBot="1">
      <c r="A10" s="509"/>
      <c r="B10" s="704"/>
      <c r="C10" s="1079" t="s">
        <v>432</v>
      </c>
      <c r="D10" s="1079"/>
      <c r="E10" s="1079"/>
      <c r="F10" s="1079"/>
      <c r="G10" s="1079"/>
      <c r="H10" s="1079"/>
      <c r="I10" s="1080"/>
      <c r="J10" s="1081"/>
      <c r="K10" s="751"/>
      <c r="L10" s="752"/>
    </row>
    <row r="11" spans="1:20" ht="30" customHeight="1" thickTop="1" thickBot="1">
      <c r="A11" s="1084" t="s">
        <v>934</v>
      </c>
      <c r="B11" s="1085"/>
      <c r="C11" s="1082" t="s">
        <v>433</v>
      </c>
      <c r="D11" s="1082"/>
      <c r="E11" s="1082"/>
      <c r="F11" s="1082"/>
      <c r="G11" s="1082"/>
      <c r="H11" s="1082"/>
      <c r="I11" s="1082"/>
      <c r="J11" s="1083"/>
      <c r="K11" s="751"/>
      <c r="L11" s="752"/>
    </row>
    <row r="12" spans="1:20" ht="16.5" customHeight="1" thickTop="1">
      <c r="A12" s="581" t="s">
        <v>431</v>
      </c>
      <c r="B12" s="507"/>
      <c r="C12" s="1079" t="s">
        <v>434</v>
      </c>
      <c r="D12" s="1079"/>
      <c r="E12" s="1079"/>
      <c r="F12" s="1079"/>
      <c r="G12" s="1079"/>
      <c r="H12" s="1079"/>
      <c r="I12" s="1080"/>
      <c r="J12" s="1081"/>
      <c r="K12" s="577"/>
      <c r="L12" s="578"/>
    </row>
    <row r="13" spans="1:20" ht="26.25" customHeight="1" thickBot="1">
      <c r="A13" s="582"/>
      <c r="B13" s="583"/>
      <c r="C13" s="1089" t="s">
        <v>435</v>
      </c>
      <c r="D13" s="1089"/>
      <c r="E13" s="1089"/>
      <c r="F13" s="1089"/>
      <c r="G13" s="1089"/>
      <c r="H13" s="1089"/>
      <c r="I13" s="1089"/>
      <c r="J13" s="1090"/>
      <c r="K13" s="675"/>
      <c r="L13" s="676"/>
    </row>
    <row r="14" spans="1:20" ht="32.25" customHeight="1" thickTop="1" thickBot="1">
      <c r="A14" s="1026" t="s">
        <v>436</v>
      </c>
      <c r="B14" s="1027"/>
      <c r="C14" s="1027"/>
      <c r="D14" s="1027"/>
      <c r="E14" s="1027"/>
      <c r="F14" s="1027"/>
      <c r="G14" s="1027"/>
      <c r="H14" s="1027"/>
      <c r="I14" s="1027"/>
      <c r="J14" s="1028"/>
      <c r="K14" s="1091" t="str">
        <f>IF(Std3NotCalc = "", "", IF(Std3NotCalc = "N", "NA", IF(COUNTBLANK(K10:K12) &gt; 1, "", IF(COUNTIF(K10:K12, "N") = 1, "N", IF(AND(COUNTIF(K10:K12, "Y") = 1, COUNTIF(K10:K12, "NA") = 1), "Y", "")))))</f>
        <v/>
      </c>
      <c r="L14" s="1092"/>
    </row>
    <row r="15" spans="1:20" ht="17.25" customHeight="1" thickTop="1" thickBot="1">
      <c r="A15" s="1021"/>
      <c r="B15" s="1022"/>
      <c r="C15" s="1022"/>
      <c r="D15" s="1022"/>
      <c r="E15" s="1022"/>
      <c r="F15" s="1022"/>
      <c r="G15" s="1022"/>
      <c r="H15" s="1022"/>
      <c r="I15" s="1022"/>
      <c r="J15" s="1022"/>
      <c r="K15" s="1023"/>
    </row>
    <row r="16" spans="1:20" ht="15.75" customHeight="1" thickTop="1">
      <c r="A16" s="520" t="s">
        <v>259</v>
      </c>
      <c r="B16" s="818" t="s">
        <v>437</v>
      </c>
      <c r="C16" s="819"/>
      <c r="D16" s="819"/>
      <c r="E16" s="819"/>
      <c r="F16" s="819"/>
      <c r="G16" s="819"/>
      <c r="H16" s="819"/>
      <c r="I16" s="819"/>
      <c r="J16" s="819"/>
      <c r="K16" s="820"/>
    </row>
    <row r="17" spans="1:11" ht="16.5" customHeight="1" thickBot="1">
      <c r="A17" s="456"/>
      <c r="B17" s="821"/>
      <c r="C17" s="822"/>
      <c r="D17" s="822"/>
      <c r="E17" s="822"/>
      <c r="F17" s="822"/>
      <c r="G17" s="822"/>
      <c r="H17" s="822"/>
      <c r="I17" s="822"/>
      <c r="J17" s="822"/>
      <c r="K17" s="823"/>
    </row>
    <row r="18" spans="1:11" ht="15.75" customHeight="1" thickTop="1">
      <c r="A18" s="1103" t="s">
        <v>982</v>
      </c>
      <c r="B18" s="1104"/>
      <c r="C18" s="1104"/>
      <c r="D18" s="1104"/>
      <c r="E18" s="1104"/>
      <c r="F18" s="1104"/>
      <c r="G18" s="1104"/>
      <c r="H18" s="1104"/>
      <c r="I18" s="1104"/>
      <c r="J18" s="1104"/>
      <c r="K18" s="1105"/>
    </row>
    <row r="19" spans="1:11" ht="57.75" customHeight="1">
      <c r="A19" s="1106"/>
      <c r="B19" s="1107"/>
      <c r="C19" s="1107"/>
      <c r="D19" s="1107"/>
      <c r="E19" s="1107"/>
      <c r="F19" s="1107"/>
      <c r="G19" s="1107"/>
      <c r="H19" s="1107"/>
      <c r="I19" s="1107"/>
      <c r="J19" s="1107"/>
      <c r="K19" s="1108"/>
    </row>
    <row r="20" spans="1:11" ht="16.5" customHeight="1" thickBot="1">
      <c r="A20" s="1068"/>
      <c r="B20" s="1069"/>
      <c r="C20" s="1069"/>
      <c r="D20" s="1069"/>
      <c r="E20" s="1069"/>
      <c r="F20" s="1069"/>
      <c r="G20" s="1069"/>
      <c r="H20" s="1069"/>
      <c r="I20" s="1069"/>
      <c r="J20" s="1069"/>
      <c r="K20" s="1070"/>
    </row>
    <row r="21" spans="1:11" ht="45.75" customHeight="1" thickTop="1">
      <c r="A21" s="1103" t="s">
        <v>948</v>
      </c>
      <c r="B21" s="1104"/>
      <c r="C21" s="1104"/>
      <c r="D21" s="1104"/>
      <c r="E21" s="1104"/>
      <c r="F21" s="1104"/>
      <c r="G21" s="1104"/>
      <c r="H21" s="1104"/>
      <c r="I21" s="1104"/>
      <c r="J21" s="1104"/>
      <c r="K21" s="1105"/>
    </row>
    <row r="22" spans="1:11" ht="18.75" customHeight="1" thickBot="1">
      <c r="A22" s="75" t="s">
        <v>398</v>
      </c>
      <c r="B22" s="181"/>
      <c r="C22" s="34" t="s">
        <v>299</v>
      </c>
      <c r="D22" s="1024"/>
      <c r="E22" s="1024"/>
      <c r="F22" s="76" t="s">
        <v>399</v>
      </c>
      <c r="G22" s="181"/>
      <c r="H22" s="34" t="s">
        <v>299</v>
      </c>
      <c r="I22" s="1024"/>
      <c r="J22" s="1024"/>
      <c r="K22" s="1025"/>
    </row>
    <row r="23" spans="1:11" ht="27.75" customHeight="1" thickTop="1">
      <c r="A23" s="797" t="s">
        <v>438</v>
      </c>
      <c r="B23" s="798"/>
      <c r="C23" s="798"/>
      <c r="D23" s="798"/>
      <c r="E23" s="798"/>
      <c r="F23" s="798"/>
      <c r="G23" s="798"/>
      <c r="H23" s="798"/>
      <c r="I23" s="799"/>
      <c r="J23" s="669" t="str">
        <f>IF(OR(ContractType = "CBA-OHR", ContractType = "ICM-OHR", ContractType = "CWP-OHR"), "NA", IF(AND(Std3dot2Month1="",Std3dot2Month2=""),"",IF(AND(Std3dot2Month1="Y",Std3dot2Month2="Y"),"Y",IF(OR(Std3dot2Month1="N",Std3dot2Month2="N"),"N",IF(OR(AND(Std3dot2Month1="Y",Std3dot2Month2="NA"),AND(Std3dot2Month1="NA",Std3dot2Month2="Y")),"Y","")))))</f>
        <v/>
      </c>
      <c r="K23" s="670"/>
    </row>
    <row r="24" spans="1:11" ht="27.75" customHeight="1">
      <c r="A24" s="434"/>
      <c r="B24" s="435"/>
      <c r="C24" s="435"/>
      <c r="D24" s="435"/>
      <c r="E24" s="435"/>
      <c r="F24" s="435"/>
      <c r="G24" s="435"/>
      <c r="H24" s="435"/>
      <c r="I24" s="436"/>
      <c r="J24" s="671"/>
      <c r="K24" s="672"/>
    </row>
    <row r="25" spans="1:11" ht="15" thickBot="1">
      <c r="A25" s="434"/>
      <c r="B25" s="435"/>
      <c r="C25" s="435"/>
      <c r="D25" s="435"/>
      <c r="E25" s="435"/>
      <c r="F25" s="435"/>
      <c r="G25" s="435"/>
      <c r="H25" s="435"/>
      <c r="I25" s="436"/>
      <c r="J25" s="671"/>
      <c r="K25" s="672"/>
    </row>
    <row r="26" spans="1:11" ht="27.75" customHeight="1" thickTop="1">
      <c r="A26" s="797" t="s">
        <v>1105</v>
      </c>
      <c r="B26" s="798"/>
      <c r="C26" s="798"/>
      <c r="D26" s="798"/>
      <c r="E26" s="798"/>
      <c r="F26" s="798"/>
      <c r="G26" s="798"/>
      <c r="H26" s="798"/>
      <c r="I26" s="799"/>
      <c r="J26" s="577"/>
      <c r="K26" s="578"/>
    </row>
    <row r="27" spans="1:11" ht="27.75" customHeight="1">
      <c r="A27" s="434" t="s">
        <v>1106</v>
      </c>
      <c r="B27" s="435"/>
      <c r="C27" s="435"/>
      <c r="D27" s="435"/>
      <c r="E27" s="435"/>
      <c r="F27" s="435"/>
      <c r="G27" s="435"/>
      <c r="H27" s="435"/>
      <c r="I27" s="436"/>
      <c r="J27" s="579"/>
      <c r="K27" s="580"/>
    </row>
    <row r="28" spans="1:11" ht="43.5" customHeight="1" thickBot="1">
      <c r="A28" s="434" t="s">
        <v>1138</v>
      </c>
      <c r="B28" s="435"/>
      <c r="C28" s="435"/>
      <c r="D28" s="435"/>
      <c r="E28" s="435"/>
      <c r="F28" s="435"/>
      <c r="G28" s="435"/>
      <c r="H28" s="435"/>
      <c r="I28" s="436"/>
      <c r="J28" s="675"/>
      <c r="K28" s="676"/>
    </row>
    <row r="29" spans="1:11" ht="48.75" customHeight="1" thickTop="1">
      <c r="A29" s="797" t="s">
        <v>1107</v>
      </c>
      <c r="B29" s="798"/>
      <c r="C29" s="798"/>
      <c r="D29" s="798"/>
      <c r="E29" s="798"/>
      <c r="F29" s="798"/>
      <c r="G29" s="798"/>
      <c r="H29" s="798"/>
      <c r="I29" s="799"/>
      <c r="J29" s="577"/>
      <c r="K29" s="578"/>
    </row>
    <row r="30" spans="1:11" ht="27.75" customHeight="1">
      <c r="A30" s="487" t="s">
        <v>1147</v>
      </c>
      <c r="B30" s="488"/>
      <c r="C30" s="488"/>
      <c r="D30" s="488"/>
      <c r="E30" s="488"/>
      <c r="F30" s="488"/>
      <c r="G30" s="488"/>
      <c r="H30" s="488"/>
      <c r="I30" s="489"/>
      <c r="J30" s="579"/>
      <c r="K30" s="580"/>
    </row>
    <row r="31" spans="1:11" ht="17.25" customHeight="1">
      <c r="A31" s="487" t="s">
        <v>1108</v>
      </c>
      <c r="B31" s="488"/>
      <c r="C31" s="488"/>
      <c r="D31" s="488"/>
      <c r="E31" s="488"/>
      <c r="F31" s="488"/>
      <c r="G31" s="488"/>
      <c r="H31" s="488"/>
      <c r="I31" s="489"/>
      <c r="J31" s="579"/>
      <c r="K31" s="580"/>
    </row>
    <row r="32" spans="1:11" ht="29.25" customHeight="1" thickBot="1">
      <c r="A32" s="487" t="s">
        <v>1109</v>
      </c>
      <c r="B32" s="488"/>
      <c r="C32" s="488"/>
      <c r="D32" s="488"/>
      <c r="E32" s="488"/>
      <c r="F32" s="488"/>
      <c r="G32" s="488"/>
      <c r="H32" s="488"/>
      <c r="I32" s="489"/>
      <c r="J32" s="675"/>
      <c r="K32" s="676"/>
    </row>
    <row r="33" spans="1:12" ht="17.25" customHeight="1" thickTop="1" thickBot="1">
      <c r="A33" s="1071" t="s">
        <v>439</v>
      </c>
      <c r="B33" s="1072"/>
      <c r="C33" s="1072"/>
      <c r="D33" s="1072"/>
      <c r="E33" s="1072"/>
      <c r="F33" s="1072"/>
      <c r="G33" s="1072"/>
      <c r="H33" s="1072"/>
      <c r="I33" s="1072"/>
      <c r="J33" s="1072"/>
      <c r="K33" s="1073"/>
    </row>
    <row r="34" spans="1:12" ht="17.25" customHeight="1" thickTop="1" thickBot="1">
      <c r="A34" s="504" t="s">
        <v>260</v>
      </c>
      <c r="B34" s="1086" t="s">
        <v>440</v>
      </c>
      <c r="C34" s="1087"/>
      <c r="D34" s="1087"/>
      <c r="E34" s="1087"/>
      <c r="F34" s="1087"/>
      <c r="G34" s="1087"/>
      <c r="H34" s="1087"/>
      <c r="I34" s="1087"/>
      <c r="J34" s="1087"/>
      <c r="K34" s="1088"/>
    </row>
    <row r="35" spans="1:12" ht="17.25" customHeight="1" thickTop="1" thickBot="1">
      <c r="A35" s="505"/>
      <c r="B35" s="1074" t="s">
        <v>441</v>
      </c>
      <c r="C35" s="1075"/>
      <c r="D35" s="1075"/>
      <c r="E35" s="1075"/>
      <c r="F35" s="1075"/>
      <c r="G35" s="1075"/>
      <c r="H35" s="1075"/>
      <c r="I35" s="1076"/>
      <c r="J35" s="1077"/>
      <c r="K35" s="1078"/>
    </row>
    <row r="36" spans="1:12" ht="27" customHeight="1" thickBot="1">
      <c r="A36" s="505"/>
      <c r="B36" s="1016" t="s">
        <v>983</v>
      </c>
      <c r="C36" s="1017"/>
      <c r="D36" s="1017"/>
      <c r="E36" s="1017"/>
      <c r="F36" s="1017"/>
      <c r="G36" s="1017"/>
      <c r="H36" s="1017"/>
      <c r="I36" s="1017"/>
      <c r="J36" s="917"/>
      <c r="K36" s="657"/>
    </row>
    <row r="37" spans="1:12" ht="27" customHeight="1" thickBot="1">
      <c r="A37" s="505"/>
      <c r="B37" s="1016" t="s">
        <v>984</v>
      </c>
      <c r="C37" s="1017"/>
      <c r="D37" s="1017"/>
      <c r="E37" s="1017"/>
      <c r="F37" s="1017"/>
      <c r="G37" s="1017"/>
      <c r="H37" s="1017"/>
      <c r="I37" s="1017"/>
      <c r="J37" s="917"/>
      <c r="K37" s="657"/>
    </row>
    <row r="38" spans="1:12" ht="27" customHeight="1" thickBot="1">
      <c r="A38" s="506"/>
      <c r="B38" s="1101" t="s">
        <v>985</v>
      </c>
      <c r="C38" s="1102"/>
      <c r="D38" s="1102"/>
      <c r="E38" s="1102"/>
      <c r="F38" s="1102"/>
      <c r="G38" s="1102"/>
      <c r="H38" s="1102"/>
      <c r="I38" s="1102"/>
      <c r="J38" s="1015"/>
      <c r="K38" s="1001"/>
    </row>
    <row r="39" spans="1:12" ht="19.5" customHeight="1" thickTop="1" thickBot="1">
      <c r="A39" s="797" t="s">
        <v>442</v>
      </c>
      <c r="B39" s="798"/>
      <c r="C39" s="798"/>
      <c r="D39" s="798"/>
      <c r="E39" s="798"/>
      <c r="F39" s="798"/>
      <c r="G39" s="798"/>
      <c r="H39" s="798"/>
      <c r="I39" s="799"/>
      <c r="J39" s="669" t="str">
        <f>IF(COUNTBLANK(J35:J38) &gt; 0, "", IF(COUNTIF(J35:J38, "Y") = 4, "Y", "N"))</f>
        <v/>
      </c>
      <c r="K39" s="670"/>
    </row>
    <row r="40" spans="1:12" ht="16.5" customHeight="1" thickTop="1" thickBot="1">
      <c r="A40" s="934" t="s">
        <v>85</v>
      </c>
      <c r="B40" s="935"/>
      <c r="C40" s="935"/>
      <c r="D40" s="935"/>
      <c r="E40" s="935"/>
      <c r="F40" s="935"/>
      <c r="G40" s="935"/>
      <c r="H40" s="935"/>
      <c r="I40" s="935"/>
      <c r="J40" s="935"/>
      <c r="K40" s="935"/>
      <c r="L40" s="936"/>
    </row>
    <row r="41" spans="1:12" ht="28.5" customHeight="1" thickTop="1" thickBot="1">
      <c r="A41" s="520" t="s">
        <v>443</v>
      </c>
      <c r="B41" s="1112" t="s">
        <v>1002</v>
      </c>
      <c r="C41" s="1113"/>
      <c r="D41" s="1113"/>
      <c r="E41" s="1113"/>
      <c r="F41" s="1113"/>
      <c r="G41" s="1113"/>
      <c r="H41" s="1113"/>
      <c r="I41" s="1113"/>
      <c r="J41" s="1114"/>
      <c r="K41" s="772" t="s">
        <v>415</v>
      </c>
      <c r="L41" s="773"/>
    </row>
    <row r="42" spans="1:12" ht="16.5" customHeight="1" thickTop="1" thickBot="1">
      <c r="A42" s="705"/>
      <c r="B42" s="753" t="s">
        <v>852</v>
      </c>
      <c r="C42" s="754"/>
      <c r="D42" s="754"/>
      <c r="E42" s="754"/>
      <c r="F42" s="754"/>
      <c r="G42" s="754"/>
      <c r="H42" s="754"/>
      <c r="I42" s="754"/>
      <c r="J42" s="755"/>
      <c r="K42" s="774"/>
      <c r="L42" s="775"/>
    </row>
    <row r="43" spans="1:12" ht="30" customHeight="1" thickTop="1">
      <c r="A43" s="705"/>
      <c r="B43" s="757" t="s">
        <v>1007</v>
      </c>
      <c r="C43" s="758"/>
      <c r="D43" s="758"/>
      <c r="E43" s="758"/>
      <c r="F43" s="758"/>
      <c r="G43" s="758"/>
      <c r="H43" s="758"/>
      <c r="I43" s="758"/>
      <c r="J43" s="758"/>
      <c r="K43" s="758"/>
      <c r="L43" s="759"/>
    </row>
    <row r="44" spans="1:12" ht="27.75" customHeight="1" thickBot="1">
      <c r="A44" s="456"/>
      <c r="B44" s="756" t="s">
        <v>853</v>
      </c>
      <c r="C44" s="754"/>
      <c r="D44" s="754"/>
      <c r="E44" s="754"/>
      <c r="F44" s="754"/>
      <c r="G44" s="754"/>
      <c r="H44" s="754"/>
      <c r="I44" s="754"/>
      <c r="J44" s="754"/>
      <c r="K44" s="754"/>
      <c r="L44" s="755"/>
    </row>
    <row r="45" spans="1:12" ht="28.5" customHeight="1" thickTop="1">
      <c r="A45" s="797" t="s">
        <v>261</v>
      </c>
      <c r="B45" s="798"/>
      <c r="C45" s="798"/>
      <c r="D45" s="798"/>
      <c r="E45" s="798"/>
      <c r="F45" s="798"/>
      <c r="G45" s="798"/>
      <c r="H45" s="798"/>
      <c r="I45" s="798"/>
      <c r="J45" s="799"/>
      <c r="K45" s="577"/>
      <c r="L45" s="578"/>
    </row>
    <row r="46" spans="1:12">
      <c r="A46" s="1018" t="s">
        <v>854</v>
      </c>
      <c r="B46" s="1093"/>
      <c r="C46" s="1093"/>
      <c r="D46" s="1093"/>
      <c r="E46" s="1093"/>
      <c r="F46" s="1093"/>
      <c r="G46" s="1093"/>
      <c r="H46" s="1093"/>
      <c r="I46" s="1093"/>
      <c r="J46" s="1094"/>
      <c r="K46" s="579"/>
      <c r="L46" s="580"/>
    </row>
    <row r="47" spans="1:12" ht="27" customHeight="1" thickBot="1">
      <c r="A47" s="1018" t="s">
        <v>1110</v>
      </c>
      <c r="B47" s="1019"/>
      <c r="C47" s="1019"/>
      <c r="D47" s="1019"/>
      <c r="E47" s="1019"/>
      <c r="F47" s="1019"/>
      <c r="G47" s="1019"/>
      <c r="H47" s="1019"/>
      <c r="I47" s="1019"/>
      <c r="J47" s="1020"/>
      <c r="K47" s="579"/>
      <c r="L47" s="580"/>
    </row>
    <row r="48" spans="1:12" ht="17.25" customHeight="1" thickTop="1" thickBot="1">
      <c r="A48" s="934" t="s">
        <v>262</v>
      </c>
      <c r="B48" s="935"/>
      <c r="C48" s="935"/>
      <c r="D48" s="935"/>
      <c r="E48" s="935"/>
      <c r="F48" s="935"/>
      <c r="G48" s="935"/>
      <c r="H48" s="935"/>
      <c r="I48" s="935"/>
      <c r="J48" s="935"/>
      <c r="K48" s="935"/>
      <c r="L48" s="936"/>
    </row>
    <row r="49" spans="1:12" ht="30" customHeight="1" thickTop="1" thickBot="1">
      <c r="A49" s="520" t="s">
        <v>263</v>
      </c>
      <c r="B49" s="760" t="s">
        <v>1003</v>
      </c>
      <c r="C49" s="761"/>
      <c r="D49" s="761"/>
      <c r="E49" s="761"/>
      <c r="F49" s="761"/>
      <c r="G49" s="761"/>
      <c r="H49" s="761"/>
      <c r="I49" s="761"/>
      <c r="J49" s="762"/>
      <c r="K49" s="772" t="s">
        <v>415</v>
      </c>
      <c r="L49" s="773"/>
    </row>
    <row r="50" spans="1:12" ht="15.5" thickTop="1" thickBot="1">
      <c r="A50" s="705"/>
      <c r="B50" s="763"/>
      <c r="C50" s="764"/>
      <c r="D50" s="764"/>
      <c r="E50" s="764"/>
      <c r="F50" s="764"/>
      <c r="G50" s="764"/>
      <c r="H50" s="764"/>
      <c r="I50" s="764"/>
      <c r="J50" s="765"/>
      <c r="K50" s="774"/>
      <c r="L50" s="775"/>
    </row>
    <row r="51" spans="1:12" ht="10" customHeight="1" thickTop="1">
      <c r="A51" s="705"/>
      <c r="B51" s="1010" t="s">
        <v>444</v>
      </c>
      <c r="C51" s="1011"/>
      <c r="D51" s="1011"/>
      <c r="E51" s="1011"/>
      <c r="F51" s="1011"/>
      <c r="G51" s="1011"/>
      <c r="H51" s="1011"/>
      <c r="I51" s="1011"/>
      <c r="J51" s="1011"/>
      <c r="K51" s="1011"/>
      <c r="L51" s="1012"/>
    </row>
    <row r="52" spans="1:12" ht="10" customHeight="1">
      <c r="A52" s="705"/>
      <c r="B52" s="439"/>
      <c r="C52" s="440"/>
      <c r="D52" s="440"/>
      <c r="E52" s="440"/>
      <c r="F52" s="440"/>
      <c r="G52" s="440"/>
      <c r="H52" s="440"/>
      <c r="I52" s="440"/>
      <c r="J52" s="440"/>
      <c r="K52" s="440"/>
      <c r="L52" s="441"/>
    </row>
    <row r="53" spans="1:12" ht="10" customHeight="1">
      <c r="A53" s="705"/>
      <c r="B53" s="439"/>
      <c r="C53" s="440"/>
      <c r="D53" s="440"/>
      <c r="E53" s="440"/>
      <c r="F53" s="440"/>
      <c r="G53" s="440"/>
      <c r="H53" s="440"/>
      <c r="I53" s="440"/>
      <c r="J53" s="440"/>
      <c r="K53" s="440"/>
      <c r="L53" s="441"/>
    </row>
    <row r="54" spans="1:12" ht="10" customHeight="1" thickBot="1">
      <c r="A54" s="456"/>
      <c r="B54" s="735"/>
      <c r="C54" s="736"/>
      <c r="D54" s="736"/>
      <c r="E54" s="736"/>
      <c r="F54" s="736"/>
      <c r="G54" s="736"/>
      <c r="H54" s="736"/>
      <c r="I54" s="736"/>
      <c r="J54" s="736"/>
      <c r="K54" s="736"/>
      <c r="L54" s="737"/>
    </row>
    <row r="55" spans="1:12" ht="26.25" customHeight="1" thickTop="1" thickBot="1">
      <c r="A55" s="766" t="s">
        <v>855</v>
      </c>
      <c r="B55" s="767"/>
      <c r="C55" s="767"/>
      <c r="D55" s="767"/>
      <c r="E55" s="767"/>
      <c r="F55" s="767"/>
      <c r="G55" s="767"/>
      <c r="H55" s="767"/>
      <c r="I55" s="767"/>
      <c r="J55" s="767"/>
      <c r="K55" s="767"/>
      <c r="L55" s="768"/>
    </row>
    <row r="56" spans="1:12" ht="15" customHeight="1" thickTop="1">
      <c r="A56" s="1010" t="s">
        <v>445</v>
      </c>
      <c r="B56" s="1011"/>
      <c r="C56" s="1011"/>
      <c r="D56" s="1011"/>
      <c r="E56" s="1011"/>
      <c r="F56" s="1011"/>
      <c r="G56" s="1011"/>
      <c r="H56" s="1011"/>
      <c r="I56" s="1011"/>
      <c r="J56" s="1011"/>
      <c r="K56" s="1011"/>
      <c r="L56" s="1012"/>
    </row>
    <row r="57" spans="1:12" ht="15" customHeight="1">
      <c r="A57" s="439" t="s">
        <v>90</v>
      </c>
      <c r="B57" s="440"/>
      <c r="C57" s="440"/>
      <c r="D57" s="440"/>
      <c r="E57" s="440"/>
      <c r="F57" s="440"/>
      <c r="G57" s="440"/>
      <c r="H57" s="440"/>
      <c r="I57" s="440"/>
      <c r="J57" s="440"/>
      <c r="K57" s="440"/>
      <c r="L57" s="441"/>
    </row>
    <row r="58" spans="1:12" ht="15" customHeight="1">
      <c r="A58" s="439" t="s">
        <v>91</v>
      </c>
      <c r="B58" s="440"/>
      <c r="C58" s="440"/>
      <c r="D58" s="440"/>
      <c r="E58" s="440"/>
      <c r="F58" s="440"/>
      <c r="G58" s="440"/>
      <c r="H58" s="440"/>
      <c r="I58" s="440"/>
      <c r="J58" s="440"/>
      <c r="K58" s="440"/>
      <c r="L58" s="441"/>
    </row>
    <row r="59" spans="1:12" ht="15" customHeight="1">
      <c r="A59" s="439" t="s">
        <v>92</v>
      </c>
      <c r="B59" s="440"/>
      <c r="C59" s="440"/>
      <c r="D59" s="440"/>
      <c r="E59" s="440"/>
      <c r="F59" s="440"/>
      <c r="G59" s="440"/>
      <c r="H59" s="440"/>
      <c r="I59" s="440"/>
      <c r="J59" s="440"/>
      <c r="K59" s="440"/>
      <c r="L59" s="441"/>
    </row>
    <row r="60" spans="1:12" ht="27" customHeight="1" thickBot="1">
      <c r="A60" s="439" t="s">
        <v>446</v>
      </c>
      <c r="B60" s="440"/>
      <c r="C60" s="440"/>
      <c r="D60" s="440"/>
      <c r="E60" s="440"/>
      <c r="F60" s="440"/>
      <c r="G60" s="440"/>
      <c r="H60" s="440"/>
      <c r="I60" s="440"/>
      <c r="J60" s="440"/>
      <c r="K60" s="440"/>
      <c r="L60" s="441"/>
    </row>
    <row r="61" spans="1:12" ht="17.25" customHeight="1" thickTop="1" thickBot="1">
      <c r="A61" s="867" t="s">
        <v>264</v>
      </c>
      <c r="B61" s="868"/>
      <c r="C61" s="868"/>
      <c r="D61" s="868"/>
      <c r="E61" s="39" t="s">
        <v>265</v>
      </c>
      <c r="F61" s="1095"/>
      <c r="G61" s="1096"/>
      <c r="H61" s="1097"/>
      <c r="I61" s="1097"/>
      <c r="J61" s="1097"/>
      <c r="K61" s="1097"/>
      <c r="L61" s="1098"/>
    </row>
    <row r="62" spans="1:12" ht="16.5" customHeight="1" thickBot="1">
      <c r="A62" s="779" t="s">
        <v>266</v>
      </c>
      <c r="B62" s="780"/>
      <c r="C62" s="780"/>
      <c r="D62" s="780"/>
      <c r="E62" s="40" t="s">
        <v>267</v>
      </c>
      <c r="F62" s="649"/>
      <c r="G62" s="650"/>
      <c r="H62" s="1097"/>
      <c r="I62" s="1097"/>
      <c r="J62" s="1097"/>
      <c r="K62" s="1097"/>
      <c r="L62" s="1098"/>
    </row>
    <row r="63" spans="1:12" ht="16.5" customHeight="1" thickBot="1">
      <c r="A63" s="779" t="s">
        <v>112</v>
      </c>
      <c r="B63" s="780"/>
      <c r="C63" s="780"/>
      <c r="D63" s="780"/>
      <c r="E63" s="40" t="s">
        <v>265</v>
      </c>
      <c r="F63" s="651">
        <f>F61 - ABS(F62)</f>
        <v>0</v>
      </c>
      <c r="G63" s="652"/>
      <c r="H63" s="1097"/>
      <c r="I63" s="1097"/>
      <c r="J63" s="1097"/>
      <c r="K63" s="1097"/>
      <c r="L63" s="1098"/>
    </row>
    <row r="64" spans="1:12" ht="16.5" customHeight="1" thickBot="1">
      <c r="A64" s="781" t="s">
        <v>268</v>
      </c>
      <c r="B64" s="782"/>
      <c r="C64" s="782"/>
      <c r="D64" s="782"/>
      <c r="E64" s="40" t="s">
        <v>265</v>
      </c>
      <c r="F64" s="649"/>
      <c r="G64" s="650"/>
      <c r="H64" s="1097"/>
      <c r="I64" s="1097"/>
      <c r="J64" s="1097"/>
      <c r="K64" s="1097"/>
      <c r="L64" s="1098"/>
    </row>
    <row r="65" spans="1:14" ht="16.5" customHeight="1" thickBot="1">
      <c r="A65" s="781" t="s">
        <v>300</v>
      </c>
      <c r="B65" s="782"/>
      <c r="C65" s="782"/>
      <c r="D65" s="782"/>
      <c r="E65" s="40" t="s">
        <v>265</v>
      </c>
      <c r="F65" s="651">
        <f>F64 - F63</f>
        <v>0</v>
      </c>
      <c r="G65" s="652"/>
      <c r="H65" s="1097"/>
      <c r="I65" s="1097"/>
      <c r="J65" s="1097"/>
      <c r="K65" s="1097"/>
      <c r="L65" s="1098"/>
      <c r="N65" s="41"/>
    </row>
    <row r="66" spans="1:14" ht="26.25" customHeight="1" thickBot="1">
      <c r="A66" s="1013" t="s">
        <v>269</v>
      </c>
      <c r="B66" s="1014"/>
      <c r="C66" s="1014"/>
      <c r="D66" s="1014"/>
      <c r="E66" s="1099"/>
      <c r="F66" s="1099"/>
      <c r="G66" s="1100"/>
      <c r="H66" s="1097"/>
      <c r="I66" s="1097"/>
      <c r="J66" s="1097"/>
      <c r="K66" s="1097"/>
      <c r="L66" s="1098"/>
    </row>
    <row r="67" spans="1:14" ht="31.5" customHeight="1" thickTop="1">
      <c r="A67" s="447" t="s">
        <v>301</v>
      </c>
      <c r="B67" s="448"/>
      <c r="C67" s="448"/>
      <c r="D67" s="448"/>
      <c r="E67" s="448"/>
      <c r="F67" s="448"/>
      <c r="G67" s="448"/>
      <c r="H67" s="448"/>
      <c r="I67" s="448"/>
      <c r="J67" s="449"/>
      <c r="K67" s="695" t="str">
        <f>IF(Std5NotCalc="","",IF(Std5NotCalc="N","NA",IF(Std7dot1NotCalc = "", "", IF(Std7dot1NotCalc = "N", "NA", IF(COUNTBLANK(F61:F64) &gt; 2,"",IF(Std7dot1PtyCshOvrShrt=0,"Y", Std7dot1OvrShrtCorr))))))</f>
        <v/>
      </c>
      <c r="L67" s="696"/>
    </row>
    <row r="68" spans="1:14" ht="22.5" customHeight="1" thickBot="1">
      <c r="A68" s="439" t="s">
        <v>1111</v>
      </c>
      <c r="B68" s="440"/>
      <c r="C68" s="440"/>
      <c r="D68" s="440"/>
      <c r="E68" s="440"/>
      <c r="F68" s="440"/>
      <c r="G68" s="440"/>
      <c r="H68" s="440"/>
      <c r="I68" s="440"/>
      <c r="J68" s="441"/>
      <c r="K68" s="697"/>
      <c r="L68" s="698"/>
    </row>
    <row r="69" spans="1:14" ht="16.5" customHeight="1" thickTop="1" thickBot="1">
      <c r="A69" s="546" t="s">
        <v>157</v>
      </c>
      <c r="B69" s="547"/>
      <c r="C69" s="547"/>
      <c r="D69" s="547"/>
      <c r="E69" s="547"/>
      <c r="F69" s="547"/>
      <c r="G69" s="547"/>
      <c r="H69" s="547"/>
      <c r="I69" s="547"/>
      <c r="J69" s="547"/>
      <c r="K69" s="547"/>
      <c r="L69" s="548"/>
    </row>
    <row r="70" spans="1:14" ht="30" customHeight="1" thickTop="1" thickBot="1">
      <c r="A70" s="504" t="s">
        <v>448</v>
      </c>
      <c r="B70" s="760" t="s">
        <v>1004</v>
      </c>
      <c r="C70" s="761"/>
      <c r="D70" s="761"/>
      <c r="E70" s="761"/>
      <c r="F70" s="761"/>
      <c r="G70" s="761"/>
      <c r="H70" s="761"/>
      <c r="I70" s="761"/>
      <c r="J70" s="762"/>
      <c r="K70" s="772" t="s">
        <v>415</v>
      </c>
      <c r="L70" s="773"/>
    </row>
    <row r="71" spans="1:14" ht="15" customHeight="1" thickTop="1" thickBot="1">
      <c r="A71" s="505"/>
      <c r="B71" s="776"/>
      <c r="C71" s="777"/>
      <c r="D71" s="777"/>
      <c r="E71" s="777"/>
      <c r="F71" s="777"/>
      <c r="G71" s="777"/>
      <c r="H71" s="777"/>
      <c r="I71" s="777"/>
      <c r="J71" s="778"/>
      <c r="K71" s="774"/>
      <c r="L71" s="775"/>
    </row>
    <row r="72" spans="1:14" ht="15.75" customHeight="1" thickTop="1">
      <c r="A72" s="505"/>
      <c r="B72" s="818" t="s">
        <v>449</v>
      </c>
      <c r="C72" s="819"/>
      <c r="D72" s="819"/>
      <c r="E72" s="819"/>
      <c r="F72" s="819"/>
      <c r="G72" s="819"/>
      <c r="H72" s="819"/>
      <c r="I72" s="819"/>
      <c r="J72" s="819"/>
      <c r="K72" s="819"/>
      <c r="L72" s="820"/>
    </row>
    <row r="73" spans="1:14" ht="15" customHeight="1">
      <c r="A73" s="505"/>
      <c r="B73" s="853"/>
      <c r="C73" s="854"/>
      <c r="D73" s="854"/>
      <c r="E73" s="854"/>
      <c r="F73" s="854"/>
      <c r="G73" s="854"/>
      <c r="H73" s="854"/>
      <c r="I73" s="854"/>
      <c r="J73" s="854"/>
      <c r="K73" s="854"/>
      <c r="L73" s="855"/>
    </row>
    <row r="74" spans="1:14" ht="15.75" customHeight="1" thickBot="1">
      <c r="A74" s="506"/>
      <c r="B74" s="821"/>
      <c r="C74" s="822"/>
      <c r="D74" s="822"/>
      <c r="E74" s="822"/>
      <c r="F74" s="822"/>
      <c r="G74" s="822"/>
      <c r="H74" s="822"/>
      <c r="I74" s="822"/>
      <c r="J74" s="822"/>
      <c r="K74" s="822"/>
      <c r="L74" s="823"/>
    </row>
    <row r="75" spans="1:14" ht="27.75" customHeight="1" thickTop="1" thickBot="1">
      <c r="A75" s="504" t="s">
        <v>447</v>
      </c>
      <c r="B75" s="760" t="s">
        <v>1005</v>
      </c>
      <c r="C75" s="761"/>
      <c r="D75" s="761"/>
      <c r="E75" s="761"/>
      <c r="F75" s="761"/>
      <c r="G75" s="761"/>
      <c r="H75" s="761"/>
      <c r="I75" s="761"/>
      <c r="J75" s="762"/>
      <c r="K75" s="772" t="s">
        <v>415</v>
      </c>
      <c r="L75" s="773"/>
    </row>
    <row r="76" spans="1:14" ht="15.5" thickTop="1" thickBot="1">
      <c r="A76" s="505"/>
      <c r="B76" s="776"/>
      <c r="C76" s="777"/>
      <c r="D76" s="777"/>
      <c r="E76" s="777"/>
      <c r="F76" s="777"/>
      <c r="G76" s="777"/>
      <c r="H76" s="777"/>
      <c r="I76" s="777"/>
      <c r="J76" s="778"/>
      <c r="K76" s="774"/>
      <c r="L76" s="775"/>
    </row>
    <row r="77" spans="1:14" ht="15" thickTop="1">
      <c r="A77" s="505"/>
      <c r="B77" s="818" t="s">
        <v>450</v>
      </c>
      <c r="C77" s="819"/>
      <c r="D77" s="819"/>
      <c r="E77" s="819"/>
      <c r="F77" s="819"/>
      <c r="G77" s="819"/>
      <c r="H77" s="819"/>
      <c r="I77" s="819"/>
      <c r="J77" s="819"/>
      <c r="K77" s="819"/>
      <c r="L77" s="820"/>
    </row>
    <row r="78" spans="1:14" ht="27" customHeight="1">
      <c r="A78" s="505"/>
      <c r="B78" s="853" t="s">
        <v>451</v>
      </c>
      <c r="C78" s="854"/>
      <c r="D78" s="854"/>
      <c r="E78" s="854"/>
      <c r="F78" s="854"/>
      <c r="G78" s="854"/>
      <c r="H78" s="854"/>
      <c r="I78" s="854"/>
      <c r="J78" s="854"/>
      <c r="K78" s="854"/>
      <c r="L78" s="855"/>
    </row>
    <row r="79" spans="1:14" ht="15" thickBot="1">
      <c r="A79" s="506"/>
      <c r="B79" s="821"/>
      <c r="C79" s="822"/>
      <c r="D79" s="822"/>
      <c r="E79" s="822"/>
      <c r="F79" s="822"/>
      <c r="G79" s="822"/>
      <c r="H79" s="822"/>
      <c r="I79" s="822"/>
      <c r="J79" s="822"/>
      <c r="K79" s="822"/>
      <c r="L79" s="823"/>
    </row>
    <row r="80" spans="1:14" ht="15.5" thickTop="1" thickBot="1">
      <c r="A80" s="769" t="s">
        <v>305</v>
      </c>
      <c r="B80" s="770"/>
      <c r="C80" s="770"/>
      <c r="D80" s="770"/>
      <c r="E80" s="770"/>
      <c r="F80" s="770"/>
      <c r="G80" s="770"/>
      <c r="H80" s="770"/>
      <c r="I80" s="770"/>
      <c r="J80" s="770"/>
      <c r="K80" s="770"/>
      <c r="L80" s="771"/>
    </row>
    <row r="81" spans="1:13" ht="39.75" customHeight="1" thickTop="1">
      <c r="A81" s="505" t="s">
        <v>207</v>
      </c>
      <c r="B81" s="439" t="s">
        <v>452</v>
      </c>
      <c r="C81" s="440"/>
      <c r="D81" s="440"/>
      <c r="E81" s="440"/>
      <c r="F81" s="440"/>
      <c r="G81" s="440"/>
      <c r="H81" s="440"/>
      <c r="I81" s="440"/>
      <c r="J81" s="440"/>
      <c r="K81" s="440"/>
      <c r="L81" s="441"/>
    </row>
    <row r="82" spans="1:13">
      <c r="A82" s="505"/>
      <c r="B82" s="439" t="s">
        <v>453</v>
      </c>
      <c r="C82" s="440"/>
      <c r="D82" s="440"/>
      <c r="E82" s="440"/>
      <c r="F82" s="440"/>
      <c r="G82" s="440"/>
      <c r="H82" s="440"/>
      <c r="I82" s="440"/>
      <c r="J82" s="440"/>
      <c r="K82" s="440"/>
      <c r="L82" s="441"/>
    </row>
    <row r="83" spans="1:13" ht="16.5" customHeight="1">
      <c r="A83" s="505"/>
      <c r="B83" s="439" t="s">
        <v>454</v>
      </c>
      <c r="C83" s="440"/>
      <c r="D83" s="440"/>
      <c r="E83" s="440"/>
      <c r="F83" s="440"/>
      <c r="G83" s="440"/>
      <c r="H83" s="440"/>
      <c r="I83" s="440"/>
      <c r="J83" s="440"/>
      <c r="K83" s="440"/>
      <c r="L83" s="441"/>
    </row>
    <row r="84" spans="1:13" ht="15" customHeight="1">
      <c r="A84" s="505"/>
      <c r="B84" s="439" t="s">
        <v>455</v>
      </c>
      <c r="C84" s="440"/>
      <c r="D84" s="440"/>
      <c r="E84" s="440"/>
      <c r="F84" s="440"/>
      <c r="G84" s="440"/>
      <c r="H84" s="440"/>
      <c r="I84" s="440"/>
      <c r="J84" s="440"/>
      <c r="K84" s="440"/>
      <c r="L84" s="441"/>
    </row>
    <row r="85" spans="1:13" ht="27" customHeight="1" thickBot="1">
      <c r="A85" s="505"/>
      <c r="B85" s="439" t="s">
        <v>456</v>
      </c>
      <c r="C85" s="440"/>
      <c r="D85" s="440"/>
      <c r="E85" s="440"/>
      <c r="F85" s="440"/>
      <c r="G85" s="440"/>
      <c r="H85" s="440"/>
      <c r="I85" s="440"/>
      <c r="J85" s="440"/>
      <c r="K85" s="440"/>
      <c r="L85" s="441"/>
    </row>
    <row r="86" spans="1:13" ht="16.5" customHeight="1" thickBot="1">
      <c r="A86" s="738" t="s">
        <v>120</v>
      </c>
      <c r="B86" s="1115"/>
      <c r="C86" s="1115"/>
      <c r="D86" s="1115"/>
      <c r="E86" s="1116"/>
      <c r="F86" s="1005"/>
      <c r="G86" s="1009"/>
      <c r="H86" s="1009"/>
      <c r="I86" s="48" t="s">
        <v>270</v>
      </c>
      <c r="J86" s="48" t="s">
        <v>265</v>
      </c>
      <c r="K86" s="522"/>
      <c r="L86" s="524"/>
      <c r="M86" s="42"/>
    </row>
    <row r="87" spans="1:13" ht="16.5" customHeight="1" thickBot="1">
      <c r="A87" s="1006" t="s">
        <v>306</v>
      </c>
      <c r="B87" s="1007"/>
      <c r="C87" s="1007"/>
      <c r="D87" s="1007"/>
      <c r="E87" s="1007"/>
      <c r="F87" s="1007"/>
      <c r="G87" s="1007"/>
      <c r="H87" s="1008"/>
      <c r="I87" s="45" t="s">
        <v>271</v>
      </c>
      <c r="J87" s="46" t="s">
        <v>272</v>
      </c>
      <c r="K87" s="1002">
        <f>J113</f>
        <v>0</v>
      </c>
      <c r="L87" s="1003"/>
      <c r="M87" s="42"/>
    </row>
    <row r="88" spans="1:13" ht="16.5" customHeight="1" thickBot="1">
      <c r="A88" s="1006" t="s">
        <v>307</v>
      </c>
      <c r="B88" s="1007"/>
      <c r="C88" s="1007"/>
      <c r="D88" s="1007"/>
      <c r="E88" s="1007"/>
      <c r="F88" s="1007"/>
      <c r="G88" s="1007"/>
      <c r="H88" s="1008"/>
      <c r="I88" s="45" t="s">
        <v>273</v>
      </c>
      <c r="J88" s="46" t="s">
        <v>274</v>
      </c>
      <c r="K88" s="1002">
        <f>G113</f>
        <v>0</v>
      </c>
      <c r="L88" s="1003"/>
      <c r="M88" s="42"/>
    </row>
    <row r="89" spans="1:13" ht="15.75" customHeight="1" thickBot="1">
      <c r="A89" s="1006" t="s">
        <v>124</v>
      </c>
      <c r="B89" s="1007"/>
      <c r="C89" s="1007"/>
      <c r="D89" s="1007"/>
      <c r="E89" s="1007"/>
      <c r="F89" s="1007"/>
      <c r="G89" s="1007"/>
      <c r="H89" s="44" t="s">
        <v>308</v>
      </c>
      <c r="I89" s="45" t="s">
        <v>275</v>
      </c>
      <c r="J89" s="46" t="s">
        <v>265</v>
      </c>
      <c r="K89" s="1002">
        <f>K86 + K87 - K88</f>
        <v>0</v>
      </c>
      <c r="L89" s="1003"/>
      <c r="M89" s="42"/>
    </row>
    <row r="90" spans="1:13" ht="16.5" customHeight="1" thickBot="1">
      <c r="A90" s="1109" t="s">
        <v>310</v>
      </c>
      <c r="B90" s="1110"/>
      <c r="C90" s="1110"/>
      <c r="D90" s="1110"/>
      <c r="E90" s="1110"/>
      <c r="F90" s="1110"/>
      <c r="G90" s="1004"/>
      <c r="H90" s="1005"/>
      <c r="I90" s="45" t="s">
        <v>276</v>
      </c>
      <c r="J90" s="46" t="s">
        <v>265</v>
      </c>
      <c r="K90" s="522"/>
      <c r="L90" s="524"/>
      <c r="M90" s="42"/>
    </row>
    <row r="91" spans="1:13" ht="16.5" customHeight="1" thickBot="1">
      <c r="A91" s="1006" t="s">
        <v>126</v>
      </c>
      <c r="B91" s="1007"/>
      <c r="C91" s="1007"/>
      <c r="D91" s="1007"/>
      <c r="E91" s="1007"/>
      <c r="F91" s="1007"/>
      <c r="G91" s="1007"/>
      <c r="H91" s="1007"/>
      <c r="I91" s="1007"/>
      <c r="J91" s="1007"/>
      <c r="K91" s="1007"/>
      <c r="L91" s="1111"/>
      <c r="M91" s="42"/>
    </row>
    <row r="92" spans="1:13" ht="15" thickBot="1">
      <c r="A92" s="997" t="s">
        <v>127</v>
      </c>
      <c r="B92" s="998"/>
      <c r="C92" s="998"/>
      <c r="D92" s="998"/>
      <c r="E92" s="998" t="s">
        <v>277</v>
      </c>
      <c r="F92" s="998" t="s">
        <v>265</v>
      </c>
      <c r="G92" s="998"/>
      <c r="H92" s="44" t="s">
        <v>309</v>
      </c>
      <c r="I92" s="45" t="s">
        <v>277</v>
      </c>
      <c r="J92" s="46" t="s">
        <v>265</v>
      </c>
      <c r="K92" s="1002">
        <f>K89 + K90</f>
        <v>0</v>
      </c>
      <c r="L92" s="1003"/>
      <c r="M92" s="42"/>
    </row>
    <row r="93" spans="1:13" ht="16.5" customHeight="1" thickBot="1">
      <c r="A93" s="997" t="s">
        <v>129</v>
      </c>
      <c r="B93" s="998"/>
      <c r="C93" s="998"/>
      <c r="D93" s="998"/>
      <c r="E93" s="998"/>
      <c r="F93" s="998"/>
      <c r="G93" s="1004"/>
      <c r="H93" s="1005"/>
      <c r="I93" s="45" t="s">
        <v>278</v>
      </c>
      <c r="J93" s="46" t="s">
        <v>265</v>
      </c>
      <c r="K93" s="522"/>
      <c r="L93" s="524"/>
      <c r="M93" s="42"/>
    </row>
    <row r="94" spans="1:13" ht="16.5" customHeight="1" thickBot="1">
      <c r="A94" s="1006" t="s">
        <v>130</v>
      </c>
      <c r="B94" s="1007"/>
      <c r="C94" s="1007"/>
      <c r="D94" s="1007"/>
      <c r="E94" s="1007"/>
      <c r="F94" s="1007"/>
      <c r="G94" s="1007"/>
      <c r="H94" s="1008"/>
      <c r="I94" s="45" t="s">
        <v>279</v>
      </c>
      <c r="J94" s="46" t="s">
        <v>272</v>
      </c>
      <c r="K94" s="522"/>
      <c r="L94" s="524"/>
      <c r="M94" s="42"/>
    </row>
    <row r="95" spans="1:13" ht="16.5" customHeight="1" thickBot="1">
      <c r="A95" s="1006" t="s">
        <v>139</v>
      </c>
      <c r="B95" s="1007"/>
      <c r="C95" s="1007"/>
      <c r="D95" s="1007"/>
      <c r="E95" s="1007" t="s">
        <v>280</v>
      </c>
      <c r="F95" s="1007" t="s">
        <v>274</v>
      </c>
      <c r="G95" s="1007"/>
      <c r="H95" s="1008"/>
      <c r="I95" s="45" t="s">
        <v>280</v>
      </c>
      <c r="J95" s="46" t="s">
        <v>274</v>
      </c>
      <c r="K95" s="522"/>
      <c r="L95" s="524"/>
      <c r="M95" s="42"/>
    </row>
    <row r="96" spans="1:13" ht="26.25" customHeight="1" thickBot="1">
      <c r="A96" s="1006" t="s">
        <v>311</v>
      </c>
      <c r="B96" s="1007"/>
      <c r="C96" s="1007"/>
      <c r="D96" s="1007"/>
      <c r="E96" s="1007"/>
      <c r="F96" s="1007"/>
      <c r="G96" s="1007"/>
      <c r="H96" s="1008"/>
      <c r="I96" s="45" t="s">
        <v>281</v>
      </c>
      <c r="J96" s="46" t="s">
        <v>274</v>
      </c>
      <c r="K96" s="522"/>
      <c r="L96" s="524"/>
      <c r="M96" s="42"/>
    </row>
    <row r="97" spans="1:13" ht="16.5" customHeight="1" thickBot="1">
      <c r="A97" s="997" t="s">
        <v>143</v>
      </c>
      <c r="B97" s="998"/>
      <c r="C97" s="998"/>
      <c r="D97" s="998"/>
      <c r="E97" s="998"/>
      <c r="F97" s="998"/>
      <c r="G97" s="998"/>
      <c r="H97" s="44" t="s">
        <v>144</v>
      </c>
      <c r="I97" s="45" t="s">
        <v>282</v>
      </c>
      <c r="J97" s="46" t="s">
        <v>265</v>
      </c>
      <c r="K97" s="1002">
        <f>K93 + K94 - K95 - K96</f>
        <v>0</v>
      </c>
      <c r="L97" s="1003"/>
      <c r="M97" s="42"/>
    </row>
    <row r="98" spans="1:13" ht="15" thickBot="1">
      <c r="A98" s="997" t="s">
        <v>312</v>
      </c>
      <c r="B98" s="998"/>
      <c r="C98" s="998"/>
      <c r="D98" s="998"/>
      <c r="E98" s="998"/>
      <c r="F98" s="998"/>
      <c r="G98" s="998"/>
      <c r="H98" s="44" t="s">
        <v>147</v>
      </c>
      <c r="I98" s="45" t="s">
        <v>283</v>
      </c>
      <c r="J98" s="46" t="s">
        <v>265</v>
      </c>
      <c r="K98" s="1002">
        <f>K92 - K97</f>
        <v>0</v>
      </c>
      <c r="L98" s="1003"/>
      <c r="M98" s="42"/>
    </row>
    <row r="99" spans="1:13" ht="17.25" customHeight="1" thickBot="1">
      <c r="A99" s="991" t="s">
        <v>457</v>
      </c>
      <c r="B99" s="992"/>
      <c r="C99" s="992"/>
      <c r="D99" s="992"/>
      <c r="E99" s="992"/>
      <c r="F99" s="992"/>
      <c r="G99" s="992"/>
      <c r="H99" s="993"/>
      <c r="I99" s="45" t="s">
        <v>284</v>
      </c>
      <c r="J99" s="989"/>
      <c r="K99" s="989"/>
      <c r="L99" s="990"/>
      <c r="M99" s="42"/>
    </row>
    <row r="100" spans="1:13" ht="26.25" customHeight="1" thickBot="1">
      <c r="A100" s="994" t="s">
        <v>458</v>
      </c>
      <c r="B100" s="995"/>
      <c r="C100" s="995"/>
      <c r="D100" s="995"/>
      <c r="E100" s="995"/>
      <c r="F100" s="995"/>
      <c r="G100" s="995"/>
      <c r="H100" s="996"/>
      <c r="I100" s="47" t="s">
        <v>285</v>
      </c>
      <c r="J100" s="999"/>
      <c r="K100" s="1000"/>
      <c r="L100" s="1001"/>
      <c r="M100" s="42"/>
    </row>
    <row r="101" spans="1:13" s="1" customFormat="1" ht="16.5" customHeight="1" thickTop="1" thickBot="1">
      <c r="A101" s="932" t="s">
        <v>152</v>
      </c>
      <c r="B101" s="479"/>
      <c r="C101" s="479"/>
      <c r="D101" s="933"/>
      <c r="E101" s="925" t="s">
        <v>152</v>
      </c>
      <c r="F101" s="637"/>
      <c r="G101" s="637"/>
      <c r="H101" s="926"/>
      <c r="I101" s="481" t="s">
        <v>153</v>
      </c>
      <c r="J101" s="482"/>
      <c r="K101" s="483"/>
    </row>
    <row r="102" spans="1:13" s="22" customFormat="1" ht="15.75" customHeight="1" thickBot="1">
      <c r="A102" s="27" t="s">
        <v>150</v>
      </c>
      <c r="B102" s="35" t="s">
        <v>50</v>
      </c>
      <c r="C102" s="927" t="s">
        <v>151</v>
      </c>
      <c r="D102" s="928"/>
      <c r="E102" s="28" t="s">
        <v>150</v>
      </c>
      <c r="F102" s="35" t="s">
        <v>50</v>
      </c>
      <c r="G102" s="927" t="s">
        <v>151</v>
      </c>
      <c r="H102" s="929"/>
      <c r="I102" s="29" t="s">
        <v>50</v>
      </c>
      <c r="J102" s="927" t="s">
        <v>151</v>
      </c>
      <c r="K102" s="928"/>
    </row>
    <row r="103" spans="1:13" s="1" customFormat="1" ht="16" thickBot="1">
      <c r="A103" s="176"/>
      <c r="B103" s="182"/>
      <c r="C103" s="471"/>
      <c r="D103" s="924"/>
      <c r="E103" s="183"/>
      <c r="F103" s="182"/>
      <c r="G103" s="471"/>
      <c r="H103" s="931"/>
      <c r="I103" s="184"/>
      <c r="J103" s="394"/>
      <c r="K103" s="930"/>
    </row>
    <row r="104" spans="1:13" s="1" customFormat="1" ht="15.75" customHeight="1" thickBot="1">
      <c r="A104" s="177"/>
      <c r="B104" s="182"/>
      <c r="C104" s="471"/>
      <c r="D104" s="924"/>
      <c r="E104" s="183"/>
      <c r="F104" s="182"/>
      <c r="G104" s="471"/>
      <c r="H104" s="931"/>
      <c r="I104" s="184"/>
      <c r="J104" s="394"/>
      <c r="K104" s="930"/>
    </row>
    <row r="105" spans="1:13" s="1" customFormat="1" ht="15.75" customHeight="1" thickBot="1">
      <c r="A105" s="177"/>
      <c r="B105" s="182"/>
      <c r="C105" s="471"/>
      <c r="D105" s="924"/>
      <c r="E105" s="183"/>
      <c r="F105" s="182"/>
      <c r="G105" s="471"/>
      <c r="H105" s="931"/>
      <c r="I105" s="184"/>
      <c r="J105" s="394"/>
      <c r="K105" s="930"/>
    </row>
    <row r="106" spans="1:13" s="1" customFormat="1" ht="15.75" customHeight="1" thickBot="1">
      <c r="A106" s="177"/>
      <c r="B106" s="182"/>
      <c r="C106" s="471"/>
      <c r="D106" s="924"/>
      <c r="E106" s="183"/>
      <c r="F106" s="182"/>
      <c r="G106" s="471"/>
      <c r="H106" s="931"/>
      <c r="I106" s="184"/>
      <c r="J106" s="394"/>
      <c r="K106" s="930"/>
    </row>
    <row r="107" spans="1:13" s="1" customFormat="1" ht="16" thickBot="1">
      <c r="A107" s="177"/>
      <c r="B107" s="182"/>
      <c r="C107" s="471"/>
      <c r="D107" s="924"/>
      <c r="E107" s="183"/>
      <c r="F107" s="182"/>
      <c r="G107" s="471"/>
      <c r="H107" s="931"/>
      <c r="I107" s="184"/>
      <c r="J107" s="394"/>
      <c r="K107" s="930"/>
    </row>
    <row r="108" spans="1:13" s="1" customFormat="1" ht="15.75" customHeight="1" thickBot="1">
      <c r="A108" s="177"/>
      <c r="B108" s="182"/>
      <c r="C108" s="471"/>
      <c r="D108" s="924"/>
      <c r="E108" s="183"/>
      <c r="F108" s="182"/>
      <c r="G108" s="471"/>
      <c r="H108" s="931"/>
      <c r="I108" s="184"/>
      <c r="J108" s="394"/>
      <c r="K108" s="930"/>
    </row>
    <row r="109" spans="1:13" s="1" customFormat="1" ht="16" thickBot="1">
      <c r="A109" s="177"/>
      <c r="B109" s="182"/>
      <c r="C109" s="471"/>
      <c r="D109" s="924"/>
      <c r="E109" s="183"/>
      <c r="F109" s="182"/>
      <c r="G109" s="471"/>
      <c r="H109" s="931"/>
      <c r="I109" s="184"/>
      <c r="J109" s="394"/>
      <c r="K109" s="930"/>
    </row>
    <row r="110" spans="1:13" s="1" customFormat="1" ht="15.75" customHeight="1" thickBot="1">
      <c r="A110" s="177"/>
      <c r="B110" s="182"/>
      <c r="C110" s="471"/>
      <c r="D110" s="924"/>
      <c r="E110" s="183"/>
      <c r="F110" s="182"/>
      <c r="G110" s="471"/>
      <c r="H110" s="931"/>
      <c r="I110" s="184"/>
      <c r="J110" s="394"/>
      <c r="K110" s="930"/>
    </row>
    <row r="111" spans="1:13" s="1" customFormat="1" ht="15.75" customHeight="1" thickBot="1">
      <c r="A111" s="177"/>
      <c r="B111" s="182"/>
      <c r="C111" s="471"/>
      <c r="D111" s="924"/>
      <c r="E111" s="183"/>
      <c r="F111" s="182"/>
      <c r="G111" s="471"/>
      <c r="H111" s="931"/>
      <c r="I111" s="184"/>
      <c r="J111" s="394"/>
      <c r="K111" s="930"/>
    </row>
    <row r="112" spans="1:13" s="1" customFormat="1" ht="16" thickBot="1">
      <c r="A112" s="177"/>
      <c r="B112" s="182"/>
      <c r="C112" s="471"/>
      <c r="D112" s="924"/>
      <c r="E112" s="183"/>
      <c r="F112" s="182"/>
      <c r="G112" s="471"/>
      <c r="H112" s="931"/>
      <c r="I112" s="184"/>
      <c r="J112" s="394"/>
      <c r="K112" s="930"/>
    </row>
    <row r="113" spans="1:11" s="1" customFormat="1" ht="15.75" customHeight="1" thickBot="1">
      <c r="A113" s="502" t="s">
        <v>102</v>
      </c>
      <c r="B113" s="503"/>
      <c r="C113" s="503"/>
      <c r="D113" s="503"/>
      <c r="E113" s="503"/>
      <c r="F113" s="503"/>
      <c r="G113" s="638">
        <f>SUM(C103:D112,G103:H112)</f>
        <v>0</v>
      </c>
      <c r="H113" s="921"/>
      <c r="I113" s="36" t="s">
        <v>102</v>
      </c>
      <c r="J113" s="922">
        <f>SUM(J103:K112)</f>
        <v>0</v>
      </c>
      <c r="K113" s="923"/>
    </row>
    <row r="114" spans="1:11" ht="32.25" customHeight="1" thickTop="1">
      <c r="A114" s="447" t="s">
        <v>313</v>
      </c>
      <c r="B114" s="448"/>
      <c r="C114" s="448"/>
      <c r="D114" s="448"/>
      <c r="E114" s="448"/>
      <c r="F114" s="448"/>
      <c r="G114" s="448"/>
      <c r="H114" s="448"/>
      <c r="I114" s="449"/>
      <c r="J114" s="1125" t="str">
        <f>IF(Std5NotCalc="","",IF(Std5NotCalc="N","NA",IF(Std9dot1aNotCalc="","",IF(Std9dot1aNotCalc="N","NA",IF(Std9dot1bNotCalc="","",IF(Std9dot1bNotCalc="N","N",IF(K86="","",IF(K98=0,"Y",IF(K98&gt;0, J99,IF(J100="","",IF(COUNTIF(J99:J100,"Y")&gt;0,"Y",IF(COUNTIF(J99:J100,"N")=2,"N",""))))))))))))</f>
        <v/>
      </c>
      <c r="K114" s="1126"/>
    </row>
    <row r="115" spans="1:11" ht="15" customHeight="1">
      <c r="A115" s="439" t="s">
        <v>1094</v>
      </c>
      <c r="B115" s="440"/>
      <c r="C115" s="440"/>
      <c r="D115" s="440"/>
      <c r="E115" s="440"/>
      <c r="F115" s="440"/>
      <c r="G115" s="440"/>
      <c r="H115" s="440"/>
      <c r="I115" s="441"/>
      <c r="J115" s="1127"/>
      <c r="K115" s="1128"/>
    </row>
    <row r="116" spans="1:11" ht="15" customHeight="1">
      <c r="A116" s="439"/>
      <c r="B116" s="440"/>
      <c r="C116" s="440"/>
      <c r="D116" s="440"/>
      <c r="E116" s="440"/>
      <c r="F116" s="440"/>
      <c r="G116" s="440"/>
      <c r="H116" s="440"/>
      <c r="I116" s="441"/>
      <c r="J116" s="1127"/>
      <c r="K116" s="1128"/>
    </row>
    <row r="117" spans="1:11" ht="15" customHeight="1">
      <c r="A117" s="439"/>
      <c r="B117" s="440"/>
      <c r="C117" s="440"/>
      <c r="D117" s="440"/>
      <c r="E117" s="440"/>
      <c r="F117" s="440"/>
      <c r="G117" s="440"/>
      <c r="H117" s="440"/>
      <c r="I117" s="441"/>
      <c r="J117" s="1127"/>
      <c r="K117" s="1128"/>
    </row>
    <row r="118" spans="1:11" ht="15" customHeight="1">
      <c r="A118" s="439"/>
      <c r="B118" s="440"/>
      <c r="C118" s="440"/>
      <c r="D118" s="440"/>
      <c r="E118" s="440"/>
      <c r="F118" s="440"/>
      <c r="G118" s="440"/>
      <c r="H118" s="440"/>
      <c r="I118" s="441"/>
      <c r="J118" s="1127"/>
      <c r="K118" s="1128"/>
    </row>
    <row r="119" spans="1:11" ht="15" customHeight="1" thickBot="1">
      <c r="A119" s="735"/>
      <c r="B119" s="736"/>
      <c r="C119" s="736"/>
      <c r="D119" s="736"/>
      <c r="E119" s="736"/>
      <c r="F119" s="736"/>
      <c r="G119" s="736"/>
      <c r="H119" s="736"/>
      <c r="I119" s="737"/>
      <c r="J119" s="1127"/>
      <c r="K119" s="1128"/>
    </row>
    <row r="120" spans="1:11" ht="16.5" customHeight="1" thickTop="1" thickBot="1">
      <c r="A120" s="934" t="s">
        <v>286</v>
      </c>
      <c r="B120" s="935"/>
      <c r="C120" s="935"/>
      <c r="D120" s="935"/>
      <c r="E120" s="935"/>
      <c r="F120" s="935"/>
      <c r="G120" s="935"/>
      <c r="H120" s="935"/>
      <c r="I120" s="935"/>
      <c r="J120" s="935"/>
      <c r="K120" s="936"/>
    </row>
    <row r="121" spans="1:11" ht="27.75" customHeight="1" thickTop="1" thickBot="1">
      <c r="A121" s="504" t="s">
        <v>212</v>
      </c>
      <c r="B121" s="760" t="s">
        <v>1006</v>
      </c>
      <c r="C121" s="761"/>
      <c r="D121" s="761"/>
      <c r="E121" s="761"/>
      <c r="F121" s="761"/>
      <c r="G121" s="761"/>
      <c r="H121" s="761"/>
      <c r="I121" s="762"/>
      <c r="J121" s="772" t="s">
        <v>415</v>
      </c>
      <c r="K121" s="773"/>
    </row>
    <row r="122" spans="1:11" ht="15.5" thickTop="1" thickBot="1">
      <c r="A122" s="505"/>
      <c r="B122" s="776"/>
      <c r="C122" s="777"/>
      <c r="D122" s="777"/>
      <c r="E122" s="777"/>
      <c r="F122" s="777"/>
      <c r="G122" s="777"/>
      <c r="H122" s="777"/>
      <c r="I122" s="778"/>
      <c r="J122" s="774"/>
      <c r="K122" s="775"/>
    </row>
    <row r="123" spans="1:11" ht="15" customHeight="1" thickTop="1">
      <c r="A123" s="505"/>
      <c r="B123" s="1117" t="s">
        <v>964</v>
      </c>
      <c r="C123" s="1118"/>
      <c r="D123" s="1118"/>
      <c r="E123" s="1118"/>
      <c r="F123" s="1118"/>
      <c r="G123" s="1118"/>
      <c r="H123" s="1118"/>
      <c r="I123" s="1118"/>
      <c r="J123" s="1118"/>
      <c r="K123" s="1119"/>
    </row>
    <row r="124" spans="1:11" ht="15" customHeight="1">
      <c r="A124" s="505"/>
      <c r="B124" s="847"/>
      <c r="C124" s="848"/>
      <c r="D124" s="848"/>
      <c r="E124" s="848"/>
      <c r="F124" s="848"/>
      <c r="G124" s="848"/>
      <c r="H124" s="848"/>
      <c r="I124" s="848"/>
      <c r="J124" s="848"/>
      <c r="K124" s="849"/>
    </row>
    <row r="125" spans="1:11" ht="15" customHeight="1" thickBot="1">
      <c r="A125" s="506"/>
      <c r="B125" s="850"/>
      <c r="C125" s="851"/>
      <c r="D125" s="851"/>
      <c r="E125" s="851"/>
      <c r="F125" s="851"/>
      <c r="G125" s="851"/>
      <c r="H125" s="851"/>
      <c r="I125" s="851"/>
      <c r="J125" s="851"/>
      <c r="K125" s="852"/>
    </row>
    <row r="126" spans="1:11" ht="15" thickTop="1">
      <c r="A126" s="824" t="s">
        <v>459</v>
      </c>
      <c r="B126" s="825"/>
      <c r="C126" s="825"/>
      <c r="D126" s="825"/>
      <c r="E126" s="825"/>
      <c r="F126" s="825"/>
      <c r="G126" s="825"/>
      <c r="H126" s="825"/>
      <c r="I126" s="825"/>
      <c r="J126" s="825"/>
      <c r="K126" s="826"/>
    </row>
    <row r="127" spans="1:11" ht="15" thickBot="1">
      <c r="A127" s="824" t="s">
        <v>460</v>
      </c>
      <c r="B127" s="825"/>
      <c r="C127" s="825"/>
      <c r="D127" s="825"/>
      <c r="E127" s="825"/>
      <c r="F127" s="825"/>
      <c r="G127" s="825"/>
      <c r="H127" s="825"/>
      <c r="I127" s="825"/>
      <c r="J127" s="825"/>
      <c r="K127" s="826"/>
    </row>
    <row r="128" spans="1:11" ht="16.5" customHeight="1" thickTop="1" thickBot="1">
      <c r="A128" s="939" t="s">
        <v>302</v>
      </c>
      <c r="B128" s="940"/>
      <c r="C128" s="940"/>
      <c r="D128" s="1123" t="str">
        <f>IF(FiscalReviewFirstMonth=DATE(1900,1,0),"",FiscalReviewFirstMonth)</f>
        <v/>
      </c>
      <c r="E128" s="1124"/>
      <c r="F128" s="939" t="s">
        <v>302</v>
      </c>
      <c r="G128" s="940"/>
      <c r="H128" s="940"/>
      <c r="I128" s="1123" t="str">
        <f>IF(FiscalReviewSecondMonth=DATE(1900,1,0),"",FiscalReviewSecondMonth)</f>
        <v/>
      </c>
      <c r="J128" s="1123"/>
      <c r="K128" s="1124"/>
    </row>
    <row r="129" spans="1:11" ht="26.25" customHeight="1" thickBot="1">
      <c r="A129" s="941" t="s">
        <v>303</v>
      </c>
      <c r="B129" s="942"/>
      <c r="C129" s="942"/>
      <c r="D129" s="943">
        <v>0</v>
      </c>
      <c r="E129" s="944"/>
      <c r="F129" s="941" t="s">
        <v>303</v>
      </c>
      <c r="G129" s="942"/>
      <c r="H129" s="942"/>
      <c r="I129" s="943"/>
      <c r="J129" s="943"/>
      <c r="K129" s="944"/>
    </row>
    <row r="130" spans="1:11" ht="29.25" customHeight="1" thickTop="1">
      <c r="A130" s="581" t="s">
        <v>461</v>
      </c>
      <c r="B130" s="507"/>
      <c r="C130" s="507"/>
      <c r="D130" s="507"/>
      <c r="E130" s="507"/>
      <c r="F130" s="507"/>
      <c r="G130" s="507"/>
      <c r="H130" s="507"/>
      <c r="I130" s="508"/>
      <c r="J130" s="669" t="str">
        <f>IF(Std5NotCalc="","",IF(Std5NotCalc="N","NA",IF(Std10dot1NotCalc="","",IF(Std10dot1NotCalc="N","NA",IF(AND(Std10dot1TotalAmt1="",Std10dot1TotalAmt2=""),"",IF(OR(Std10dot1TotalAmt1&lt;&gt;0,Std10dot1TotalAmt2&lt;&gt;0),"N","Y"))))))</f>
        <v/>
      </c>
      <c r="K130" s="670"/>
    </row>
    <row r="131" spans="1:11" ht="15" customHeight="1">
      <c r="A131" s="439" t="s">
        <v>1112</v>
      </c>
      <c r="B131" s="440"/>
      <c r="C131" s="440"/>
      <c r="D131" s="440"/>
      <c r="E131" s="440"/>
      <c r="F131" s="440"/>
      <c r="G131" s="440"/>
      <c r="H131" s="440"/>
      <c r="I131" s="441"/>
      <c r="J131" s="671"/>
      <c r="K131" s="672"/>
    </row>
    <row r="132" spans="1:11" ht="15" customHeight="1" thickBot="1">
      <c r="A132" s="735"/>
      <c r="B132" s="736"/>
      <c r="C132" s="736"/>
      <c r="D132" s="736"/>
      <c r="E132" s="736"/>
      <c r="F132" s="736"/>
      <c r="G132" s="736"/>
      <c r="H132" s="736"/>
      <c r="I132" s="737"/>
      <c r="J132" s="671"/>
      <c r="K132" s="672"/>
    </row>
    <row r="133" spans="1:11" ht="27" customHeight="1" thickTop="1" thickBot="1">
      <c r="A133" s="504" t="s">
        <v>215</v>
      </c>
      <c r="B133" s="760" t="s">
        <v>1008</v>
      </c>
      <c r="C133" s="761"/>
      <c r="D133" s="761"/>
      <c r="E133" s="761"/>
      <c r="F133" s="761"/>
      <c r="G133" s="761"/>
      <c r="H133" s="761"/>
      <c r="I133" s="762"/>
      <c r="J133" s="772" t="s">
        <v>415</v>
      </c>
      <c r="K133" s="773"/>
    </row>
    <row r="134" spans="1:11" ht="16.5" customHeight="1" thickTop="1" thickBot="1">
      <c r="A134" s="505"/>
      <c r="B134" s="776"/>
      <c r="C134" s="777"/>
      <c r="D134" s="777"/>
      <c r="E134" s="777"/>
      <c r="F134" s="777"/>
      <c r="G134" s="777"/>
      <c r="H134" s="777"/>
      <c r="I134" s="778"/>
      <c r="J134" s="774"/>
      <c r="K134" s="775"/>
    </row>
    <row r="135" spans="1:11" ht="15" customHeight="1" thickTop="1">
      <c r="A135" s="505"/>
      <c r="B135" s="1120" t="s">
        <v>1009</v>
      </c>
      <c r="C135" s="1121"/>
      <c r="D135" s="1121"/>
      <c r="E135" s="1121"/>
      <c r="F135" s="1121"/>
      <c r="G135" s="1121"/>
      <c r="H135" s="1121"/>
      <c r="I135" s="1121"/>
      <c r="J135" s="1121"/>
      <c r="K135" s="1122"/>
    </row>
    <row r="136" spans="1:11" ht="15" customHeight="1" thickBot="1">
      <c r="A136" s="506"/>
      <c r="B136" s="680"/>
      <c r="C136" s="681"/>
      <c r="D136" s="681"/>
      <c r="E136" s="681"/>
      <c r="F136" s="681"/>
      <c r="G136" s="681"/>
      <c r="H136" s="681"/>
      <c r="I136" s="681"/>
      <c r="J136" s="681"/>
      <c r="K136" s="682"/>
    </row>
    <row r="137" spans="1:11" ht="27" customHeight="1" thickTop="1">
      <c r="A137" s="824" t="s">
        <v>965</v>
      </c>
      <c r="B137" s="825"/>
      <c r="C137" s="825"/>
      <c r="D137" s="825"/>
      <c r="E137" s="825"/>
      <c r="F137" s="825"/>
      <c r="G137" s="825"/>
      <c r="H137" s="825"/>
      <c r="I137" s="825"/>
      <c r="J137" s="825"/>
      <c r="K137" s="826"/>
    </row>
    <row r="138" spans="1:11">
      <c r="A138" s="824" t="s">
        <v>462</v>
      </c>
      <c r="B138" s="825"/>
      <c r="C138" s="825"/>
      <c r="D138" s="825"/>
      <c r="E138" s="825"/>
      <c r="F138" s="825"/>
      <c r="G138" s="825"/>
      <c r="H138" s="825"/>
      <c r="I138" s="825"/>
      <c r="J138" s="825"/>
      <c r="K138" s="826"/>
    </row>
    <row r="139" spans="1:11" ht="27" customHeight="1" thickBot="1">
      <c r="A139" s="824" t="s">
        <v>966</v>
      </c>
      <c r="B139" s="825"/>
      <c r="C139" s="825"/>
      <c r="D139" s="825"/>
      <c r="E139" s="825"/>
      <c r="F139" s="825"/>
      <c r="G139" s="825"/>
      <c r="H139" s="825"/>
      <c r="I139" s="825"/>
      <c r="J139" s="825"/>
      <c r="K139" s="826"/>
    </row>
    <row r="140" spans="1:11" ht="16.5" customHeight="1" thickTop="1" thickBot="1">
      <c r="A140" s="939" t="s">
        <v>302</v>
      </c>
      <c r="B140" s="940"/>
      <c r="C140" s="940"/>
      <c r="D140" s="937" t="str">
        <f>IF(FiscalReviewFirstMonth=DATE(1900,1,0),"",FiscalReviewFirstMonth)</f>
        <v/>
      </c>
      <c r="E140" s="938"/>
      <c r="F140" s="939" t="s">
        <v>302</v>
      </c>
      <c r="G140" s="940"/>
      <c r="H140" s="940"/>
      <c r="I140" s="937" t="str">
        <f>IF(FiscalReviewSecondMonth=DATE(1900,1,0),"",FiscalReviewSecondMonth)</f>
        <v/>
      </c>
      <c r="J140" s="937"/>
      <c r="K140" s="938"/>
    </row>
    <row r="141" spans="1:11" ht="16.5" customHeight="1" thickBot="1">
      <c r="A141" s="941" t="s">
        <v>304</v>
      </c>
      <c r="B141" s="942"/>
      <c r="C141" s="942"/>
      <c r="D141" s="943"/>
      <c r="E141" s="944"/>
      <c r="F141" s="941" t="s">
        <v>304</v>
      </c>
      <c r="G141" s="942"/>
      <c r="H141" s="942"/>
      <c r="I141" s="943"/>
      <c r="J141" s="943"/>
      <c r="K141" s="944"/>
    </row>
    <row r="142" spans="1:11" ht="18.75" customHeight="1" thickTop="1">
      <c r="A142" s="509" t="s">
        <v>463</v>
      </c>
      <c r="B142" s="704"/>
      <c r="C142" s="704"/>
      <c r="D142" s="704"/>
      <c r="E142" s="704"/>
      <c r="F142" s="704"/>
      <c r="G142" s="704"/>
      <c r="H142" s="704"/>
      <c r="I142" s="510"/>
      <c r="J142" s="669" t="str">
        <f>IF(Std5NotCalc = "", "", IF(Std5NotCalc = "N", "NA", IF(Std10dot2NotCalc = "", "", IF(Std10dot2NotCalc = "N", "NA", IF(AND(Std10dot2BankChgs1 = "", Std10dot2BankChgs2 = ""), "", IF(OR(Std10dot2BankChgs1 &lt;&gt; 0, Std10dot2BankChgs2 &lt;&gt; 0), "N", "Y"))))))</f>
        <v/>
      </c>
      <c r="K142" s="670"/>
    </row>
    <row r="143" spans="1:11" ht="15" customHeight="1">
      <c r="A143" s="853" t="s">
        <v>1112</v>
      </c>
      <c r="B143" s="854"/>
      <c r="C143" s="854"/>
      <c r="D143" s="854"/>
      <c r="E143" s="854"/>
      <c r="F143" s="854"/>
      <c r="G143" s="854"/>
      <c r="H143" s="854"/>
      <c r="I143" s="855"/>
      <c r="J143" s="671"/>
      <c r="K143" s="672"/>
    </row>
    <row r="144" spans="1:11" ht="15" customHeight="1" thickBot="1">
      <c r="A144" s="821"/>
      <c r="B144" s="822"/>
      <c r="C144" s="822"/>
      <c r="D144" s="822"/>
      <c r="E144" s="822"/>
      <c r="F144" s="822"/>
      <c r="G144" s="822"/>
      <c r="H144" s="822"/>
      <c r="I144" s="823"/>
      <c r="J144" s="671"/>
      <c r="K144" s="672"/>
    </row>
    <row r="145" spans="1:11" ht="28.5" customHeight="1" thickTop="1" thickBot="1">
      <c r="A145" s="504" t="s">
        <v>220</v>
      </c>
      <c r="B145" s="760" t="s">
        <v>949</v>
      </c>
      <c r="C145" s="761"/>
      <c r="D145" s="761"/>
      <c r="E145" s="761"/>
      <c r="F145" s="761"/>
      <c r="G145" s="761"/>
      <c r="H145" s="761"/>
      <c r="I145" s="762"/>
      <c r="J145" s="772" t="s">
        <v>415</v>
      </c>
      <c r="K145" s="773"/>
    </row>
    <row r="146" spans="1:11" ht="15.5" thickTop="1" thickBot="1">
      <c r="A146" s="505"/>
      <c r="B146" s="776"/>
      <c r="C146" s="777"/>
      <c r="D146" s="777"/>
      <c r="E146" s="777"/>
      <c r="F146" s="777"/>
      <c r="G146" s="777"/>
      <c r="H146" s="777"/>
      <c r="I146" s="778"/>
      <c r="J146" s="774"/>
      <c r="K146" s="775"/>
    </row>
    <row r="147" spans="1:11" ht="16.5" customHeight="1" thickTop="1">
      <c r="A147" s="505"/>
      <c r="B147" s="983" t="s">
        <v>464</v>
      </c>
      <c r="C147" s="984"/>
      <c r="D147" s="984"/>
      <c r="E147" s="984"/>
      <c r="F147" s="984"/>
      <c r="G147" s="984"/>
      <c r="H147" s="984"/>
      <c r="I147" s="984"/>
      <c r="J147" s="984"/>
      <c r="K147" s="985"/>
    </row>
    <row r="148" spans="1:11" ht="15" thickBot="1">
      <c r="A148" s="506"/>
      <c r="B148" s="986" t="s">
        <v>465</v>
      </c>
      <c r="C148" s="987"/>
      <c r="D148" s="987"/>
      <c r="E148" s="987"/>
      <c r="F148" s="987"/>
      <c r="G148" s="987"/>
      <c r="H148" s="987"/>
      <c r="I148" s="987"/>
      <c r="J148" s="987"/>
      <c r="K148" s="988"/>
    </row>
    <row r="149" spans="1:11" ht="39" customHeight="1" thickTop="1">
      <c r="A149" s="977" t="s">
        <v>950</v>
      </c>
      <c r="B149" s="978"/>
      <c r="C149" s="978"/>
      <c r="D149" s="978"/>
      <c r="E149" s="978"/>
      <c r="F149" s="978"/>
      <c r="G149" s="978"/>
      <c r="H149" s="978"/>
      <c r="I149" s="978"/>
      <c r="J149" s="978"/>
      <c r="K149" s="979"/>
    </row>
    <row r="150" spans="1:11">
      <c r="A150" s="977" t="s">
        <v>466</v>
      </c>
      <c r="B150" s="978"/>
      <c r="C150" s="978"/>
      <c r="D150" s="978"/>
      <c r="E150" s="978"/>
      <c r="F150" s="978"/>
      <c r="G150" s="978"/>
      <c r="H150" s="978"/>
      <c r="I150" s="978"/>
      <c r="J150" s="978"/>
      <c r="K150" s="979"/>
    </row>
    <row r="151" spans="1:11" ht="39" customHeight="1">
      <c r="A151" s="977" t="s">
        <v>467</v>
      </c>
      <c r="B151" s="978"/>
      <c r="C151" s="978"/>
      <c r="D151" s="978"/>
      <c r="E151" s="978"/>
      <c r="F151" s="978"/>
      <c r="G151" s="978"/>
      <c r="H151" s="978"/>
      <c r="I151" s="978"/>
      <c r="J151" s="978"/>
      <c r="K151" s="979"/>
    </row>
    <row r="152" spans="1:11" s="140" customFormat="1" ht="51" customHeight="1" thickBot="1">
      <c r="A152" s="980" t="s">
        <v>856</v>
      </c>
      <c r="B152" s="981"/>
      <c r="C152" s="981"/>
      <c r="D152" s="981"/>
      <c r="E152" s="981"/>
      <c r="F152" s="981"/>
      <c r="G152" s="981"/>
      <c r="H152" s="981"/>
      <c r="I152" s="981"/>
      <c r="J152" s="981"/>
      <c r="K152" s="982"/>
    </row>
    <row r="153" spans="1:11" ht="16.5" customHeight="1" thickTop="1" thickBot="1">
      <c r="A153" s="867" t="s">
        <v>21</v>
      </c>
      <c r="B153" s="868"/>
      <c r="C153" s="868" t="s">
        <v>22</v>
      </c>
      <c r="D153" s="868"/>
      <c r="E153" s="861" t="s">
        <v>23</v>
      </c>
      <c r="F153" s="862"/>
      <c r="G153" s="862"/>
      <c r="H153" s="861" t="s">
        <v>24</v>
      </c>
      <c r="I153" s="862"/>
      <c r="J153" s="862"/>
      <c r="K153" s="863"/>
    </row>
    <row r="154" spans="1:11" ht="15.75" customHeight="1" thickBot="1">
      <c r="A154" s="975" t="s">
        <v>184</v>
      </c>
      <c r="B154" s="976"/>
      <c r="C154" s="976" t="s">
        <v>151</v>
      </c>
      <c r="D154" s="976"/>
      <c r="E154" s="864" t="s">
        <v>314</v>
      </c>
      <c r="F154" s="865"/>
      <c r="G154" s="865"/>
      <c r="H154" s="864" t="s">
        <v>315</v>
      </c>
      <c r="I154" s="865"/>
      <c r="J154" s="865"/>
      <c r="K154" s="866"/>
    </row>
    <row r="155" spans="1:11" ht="16.5" customHeight="1" thickBot="1">
      <c r="A155" s="789"/>
      <c r="B155" s="790"/>
      <c r="C155" s="841"/>
      <c r="D155" s="841"/>
      <c r="E155" s="840"/>
      <c r="F155" s="840"/>
      <c r="G155" s="840"/>
      <c r="H155" s="783"/>
      <c r="I155" s="784"/>
      <c r="J155" s="784"/>
      <c r="K155" s="785"/>
    </row>
    <row r="156" spans="1:11" ht="15.75" customHeight="1" thickBot="1">
      <c r="A156" s="789"/>
      <c r="B156" s="790"/>
      <c r="C156" s="841"/>
      <c r="D156" s="841"/>
      <c r="E156" s="840"/>
      <c r="F156" s="840"/>
      <c r="G156" s="840"/>
      <c r="H156" s="783"/>
      <c r="I156" s="784"/>
      <c r="J156" s="784"/>
      <c r="K156" s="785"/>
    </row>
    <row r="157" spans="1:11" ht="16.5" customHeight="1" thickBot="1">
      <c r="A157" s="789"/>
      <c r="B157" s="790"/>
      <c r="C157" s="841"/>
      <c r="D157" s="841"/>
      <c r="E157" s="840"/>
      <c r="F157" s="840"/>
      <c r="G157" s="840"/>
      <c r="H157" s="783"/>
      <c r="I157" s="784"/>
      <c r="J157" s="784"/>
      <c r="K157" s="785"/>
    </row>
    <row r="158" spans="1:11" ht="16.5" customHeight="1" thickBot="1">
      <c r="A158" s="789"/>
      <c r="B158" s="790"/>
      <c r="C158" s="841"/>
      <c r="D158" s="841"/>
      <c r="E158" s="840"/>
      <c r="F158" s="840"/>
      <c r="G158" s="840"/>
      <c r="H158" s="783"/>
      <c r="I158" s="784"/>
      <c r="J158" s="784"/>
      <c r="K158" s="785"/>
    </row>
    <row r="159" spans="1:11" ht="15.75" customHeight="1" thickBot="1">
      <c r="A159" s="789"/>
      <c r="B159" s="790"/>
      <c r="C159" s="841"/>
      <c r="D159" s="841"/>
      <c r="E159" s="840"/>
      <c r="F159" s="840"/>
      <c r="G159" s="840"/>
      <c r="H159" s="783"/>
      <c r="I159" s="784"/>
      <c r="J159" s="784"/>
      <c r="K159" s="785"/>
    </row>
    <row r="160" spans="1:11" ht="16.5" customHeight="1" thickBot="1">
      <c r="A160" s="789"/>
      <c r="B160" s="790"/>
      <c r="C160" s="841"/>
      <c r="D160" s="841"/>
      <c r="E160" s="840"/>
      <c r="F160" s="840"/>
      <c r="G160" s="840"/>
      <c r="H160" s="783"/>
      <c r="I160" s="784"/>
      <c r="J160" s="784"/>
      <c r="K160" s="785"/>
    </row>
    <row r="161" spans="1:11" ht="16.5" customHeight="1" thickBot="1">
      <c r="A161" s="789"/>
      <c r="B161" s="790"/>
      <c r="C161" s="841"/>
      <c r="D161" s="841"/>
      <c r="E161" s="840"/>
      <c r="F161" s="840"/>
      <c r="G161" s="840"/>
      <c r="H161" s="783"/>
      <c r="I161" s="784"/>
      <c r="J161" s="784"/>
      <c r="K161" s="785"/>
    </row>
    <row r="162" spans="1:11" ht="15.75" customHeight="1" thickBot="1">
      <c r="A162" s="789"/>
      <c r="B162" s="790"/>
      <c r="C162" s="841"/>
      <c r="D162" s="841"/>
      <c r="E162" s="840"/>
      <c r="F162" s="840"/>
      <c r="G162" s="840"/>
      <c r="H162" s="783"/>
      <c r="I162" s="784"/>
      <c r="J162" s="784"/>
      <c r="K162" s="785"/>
    </row>
    <row r="163" spans="1:11" ht="16.5" customHeight="1" thickBot="1">
      <c r="A163" s="789"/>
      <c r="B163" s="790"/>
      <c r="C163" s="841"/>
      <c r="D163" s="841"/>
      <c r="E163" s="840"/>
      <c r="F163" s="840"/>
      <c r="G163" s="840"/>
      <c r="H163" s="783"/>
      <c r="I163" s="784"/>
      <c r="J163" s="784"/>
      <c r="K163" s="785"/>
    </row>
    <row r="164" spans="1:11" ht="15.75" customHeight="1" thickBot="1">
      <c r="A164" s="789"/>
      <c r="B164" s="790"/>
      <c r="C164" s="841"/>
      <c r="D164" s="841"/>
      <c r="E164" s="840"/>
      <c r="F164" s="840"/>
      <c r="G164" s="840"/>
      <c r="H164" s="783"/>
      <c r="I164" s="784"/>
      <c r="J164" s="784"/>
      <c r="K164" s="785"/>
    </row>
    <row r="165" spans="1:11" ht="16" thickTop="1">
      <c r="A165" s="845" t="s">
        <v>316</v>
      </c>
      <c r="B165" s="846"/>
      <c r="C165" s="846"/>
      <c r="D165" s="846"/>
      <c r="E165" s="846"/>
      <c r="F165" s="846"/>
      <c r="G165" s="846"/>
      <c r="H165" s="846"/>
      <c r="I165" s="846"/>
      <c r="J165" s="669" t="str">
        <f>IF(Std5NotCalc = "", "", IF(Std5NotCalc = "N", "NA", IF(Std10dot3NotCalc = "", "", IF(Std10dot3NotCalc = "N", "NA", IF(COUNTIF(C155:C164,  "&gt;0") &gt; 0, "N", "Y")))))</f>
        <v/>
      </c>
      <c r="K165" s="670"/>
    </row>
    <row r="166" spans="1:11" ht="15" customHeight="1">
      <c r="A166" s="847" t="s">
        <v>1113</v>
      </c>
      <c r="B166" s="848"/>
      <c r="C166" s="848"/>
      <c r="D166" s="848"/>
      <c r="E166" s="848"/>
      <c r="F166" s="848"/>
      <c r="G166" s="848"/>
      <c r="H166" s="848"/>
      <c r="I166" s="849"/>
      <c r="J166" s="671"/>
      <c r="K166" s="672"/>
    </row>
    <row r="167" spans="1:11" ht="15" customHeight="1" thickBot="1">
      <c r="A167" s="850"/>
      <c r="B167" s="851"/>
      <c r="C167" s="851"/>
      <c r="D167" s="851"/>
      <c r="E167" s="851"/>
      <c r="F167" s="851"/>
      <c r="G167" s="851"/>
      <c r="H167" s="851"/>
      <c r="I167" s="852"/>
      <c r="J167" s="671"/>
      <c r="K167" s="672"/>
    </row>
    <row r="168" spans="1:11" ht="27" customHeight="1" thickTop="1" thickBot="1">
      <c r="A168" s="504" t="s">
        <v>223</v>
      </c>
      <c r="B168" s="760" t="s">
        <v>951</v>
      </c>
      <c r="C168" s="761"/>
      <c r="D168" s="761"/>
      <c r="E168" s="761"/>
      <c r="F168" s="761"/>
      <c r="G168" s="761"/>
      <c r="H168" s="761"/>
      <c r="I168" s="762"/>
      <c r="J168" s="772" t="s">
        <v>415</v>
      </c>
      <c r="K168" s="773"/>
    </row>
    <row r="169" spans="1:11" ht="15.5" thickTop="1" thickBot="1">
      <c r="A169" s="505"/>
      <c r="B169" s="776"/>
      <c r="C169" s="777"/>
      <c r="D169" s="777"/>
      <c r="E169" s="777"/>
      <c r="F169" s="777"/>
      <c r="G169" s="777"/>
      <c r="H169" s="777"/>
      <c r="I169" s="778"/>
      <c r="J169" s="774"/>
      <c r="K169" s="775"/>
    </row>
    <row r="170" spans="1:11" ht="15.75" customHeight="1" thickTop="1">
      <c r="A170" s="505"/>
      <c r="B170" s="800" t="s">
        <v>468</v>
      </c>
      <c r="C170" s="801"/>
      <c r="D170" s="801"/>
      <c r="E170" s="801"/>
      <c r="F170" s="801"/>
      <c r="G170" s="801"/>
      <c r="H170" s="801"/>
      <c r="I170" s="801"/>
      <c r="J170" s="801"/>
      <c r="K170" s="802"/>
    </row>
    <row r="171" spans="1:11" ht="15" customHeight="1">
      <c r="A171" s="505"/>
      <c r="B171" s="824"/>
      <c r="C171" s="825"/>
      <c r="D171" s="825"/>
      <c r="E171" s="825"/>
      <c r="F171" s="825"/>
      <c r="G171" s="825"/>
      <c r="H171" s="825"/>
      <c r="I171" s="825"/>
      <c r="J171" s="825"/>
      <c r="K171" s="826"/>
    </row>
    <row r="172" spans="1:11" ht="39" customHeight="1">
      <c r="A172" s="505"/>
      <c r="B172" s="858" t="s">
        <v>952</v>
      </c>
      <c r="C172" s="859"/>
      <c r="D172" s="859"/>
      <c r="E172" s="859"/>
      <c r="F172" s="859"/>
      <c r="G172" s="859"/>
      <c r="H172" s="859"/>
      <c r="I172" s="859"/>
      <c r="J172" s="859"/>
      <c r="K172" s="860"/>
    </row>
    <row r="173" spans="1:11">
      <c r="A173" s="505"/>
      <c r="B173" s="858" t="s">
        <v>469</v>
      </c>
      <c r="C173" s="859"/>
      <c r="D173" s="859"/>
      <c r="E173" s="859"/>
      <c r="F173" s="859"/>
      <c r="G173" s="859"/>
      <c r="H173" s="859"/>
      <c r="I173" s="859"/>
      <c r="J173" s="859"/>
      <c r="K173" s="860"/>
    </row>
    <row r="174" spans="1:11" ht="52.5" customHeight="1">
      <c r="A174" s="505"/>
      <c r="B174" s="858" t="s">
        <v>470</v>
      </c>
      <c r="C174" s="859"/>
      <c r="D174" s="859"/>
      <c r="E174" s="859"/>
      <c r="F174" s="859"/>
      <c r="G174" s="859"/>
      <c r="H174" s="859"/>
      <c r="I174" s="859"/>
      <c r="J174" s="859"/>
      <c r="K174" s="860"/>
    </row>
    <row r="175" spans="1:11" ht="78" customHeight="1">
      <c r="A175" s="505"/>
      <c r="B175" s="434" t="s">
        <v>471</v>
      </c>
      <c r="C175" s="435"/>
      <c r="D175" s="435"/>
      <c r="E175" s="435"/>
      <c r="F175" s="435"/>
      <c r="G175" s="435"/>
      <c r="H175" s="435"/>
      <c r="I175" s="435"/>
      <c r="J175" s="435"/>
      <c r="K175" s="436"/>
    </row>
    <row r="176" spans="1:11" ht="66" customHeight="1" thickBot="1">
      <c r="A176" s="506"/>
      <c r="B176" s="842" t="s">
        <v>472</v>
      </c>
      <c r="C176" s="843"/>
      <c r="D176" s="843"/>
      <c r="E176" s="843"/>
      <c r="F176" s="843"/>
      <c r="G176" s="843"/>
      <c r="H176" s="843"/>
      <c r="I176" s="843"/>
      <c r="J176" s="843"/>
      <c r="K176" s="844"/>
    </row>
    <row r="177" spans="1:11" ht="80.25" customHeight="1" thickTop="1" thickBot="1">
      <c r="A177" s="1129" t="s">
        <v>857</v>
      </c>
      <c r="B177" s="1130"/>
      <c r="C177" s="1130"/>
      <c r="D177" s="1130"/>
      <c r="E177" s="1130"/>
      <c r="F177" s="1130"/>
      <c r="G177" s="1130"/>
      <c r="H177" s="1130"/>
      <c r="I177" s="1130"/>
      <c r="J177" s="1130"/>
      <c r="K177" s="1131"/>
    </row>
    <row r="178" spans="1:11" ht="16.5" customHeight="1" thickTop="1" thickBot="1">
      <c r="A178" s="867" t="s">
        <v>21</v>
      </c>
      <c r="B178" s="868"/>
      <c r="C178" s="868" t="s">
        <v>22</v>
      </c>
      <c r="D178" s="868"/>
      <c r="E178" s="861" t="s">
        <v>23</v>
      </c>
      <c r="F178" s="862"/>
      <c r="G178" s="862"/>
      <c r="H178" s="861" t="s">
        <v>24</v>
      </c>
      <c r="I178" s="862"/>
      <c r="J178" s="862"/>
      <c r="K178" s="863"/>
    </row>
    <row r="179" spans="1:11" ht="15.75" customHeight="1" thickBot="1">
      <c r="A179" s="975" t="s">
        <v>185</v>
      </c>
      <c r="B179" s="976"/>
      <c r="C179" s="976" t="s">
        <v>151</v>
      </c>
      <c r="D179" s="976"/>
      <c r="E179" s="864" t="s">
        <v>314</v>
      </c>
      <c r="F179" s="865"/>
      <c r="G179" s="865"/>
      <c r="H179" s="864" t="s">
        <v>315</v>
      </c>
      <c r="I179" s="865"/>
      <c r="J179" s="865"/>
      <c r="K179" s="866"/>
    </row>
    <row r="180" spans="1:11" ht="16.5" customHeight="1" thickBot="1">
      <c r="A180" s="789"/>
      <c r="B180" s="790"/>
      <c r="C180" s="841"/>
      <c r="D180" s="841"/>
      <c r="E180" s="840"/>
      <c r="F180" s="840"/>
      <c r="G180" s="840"/>
      <c r="H180" s="783"/>
      <c r="I180" s="784"/>
      <c r="J180" s="784"/>
      <c r="K180" s="785"/>
    </row>
    <row r="181" spans="1:11" ht="15.75" customHeight="1" thickBot="1">
      <c r="A181" s="789"/>
      <c r="B181" s="790"/>
      <c r="C181" s="841"/>
      <c r="D181" s="841"/>
      <c r="E181" s="840"/>
      <c r="F181" s="840"/>
      <c r="G181" s="840"/>
      <c r="H181" s="783"/>
      <c r="I181" s="784"/>
      <c r="J181" s="784"/>
      <c r="K181" s="785"/>
    </row>
    <row r="182" spans="1:11" ht="16.5" customHeight="1" thickBot="1">
      <c r="A182" s="789"/>
      <c r="B182" s="790"/>
      <c r="C182" s="841"/>
      <c r="D182" s="841"/>
      <c r="E182" s="840"/>
      <c r="F182" s="840"/>
      <c r="G182" s="840"/>
      <c r="H182" s="783"/>
      <c r="I182" s="784"/>
      <c r="J182" s="784"/>
      <c r="K182" s="785"/>
    </row>
    <row r="183" spans="1:11" ht="16.5" customHeight="1" thickBot="1">
      <c r="A183" s="789"/>
      <c r="B183" s="790"/>
      <c r="C183" s="841"/>
      <c r="D183" s="841"/>
      <c r="E183" s="840"/>
      <c r="F183" s="840"/>
      <c r="G183" s="840"/>
      <c r="H183" s="783"/>
      <c r="I183" s="784"/>
      <c r="J183" s="784"/>
      <c r="K183" s="785"/>
    </row>
    <row r="184" spans="1:11" ht="15.75" customHeight="1" thickBot="1">
      <c r="A184" s="789"/>
      <c r="B184" s="790"/>
      <c r="C184" s="841"/>
      <c r="D184" s="841"/>
      <c r="E184" s="840"/>
      <c r="F184" s="840"/>
      <c r="G184" s="840"/>
      <c r="H184" s="783"/>
      <c r="I184" s="784"/>
      <c r="J184" s="784"/>
      <c r="K184" s="785"/>
    </row>
    <row r="185" spans="1:11" ht="16.5" customHeight="1" thickBot="1">
      <c r="A185" s="789"/>
      <c r="B185" s="790"/>
      <c r="C185" s="841"/>
      <c r="D185" s="841"/>
      <c r="E185" s="840"/>
      <c r="F185" s="840"/>
      <c r="G185" s="840"/>
      <c r="H185" s="783"/>
      <c r="I185" s="784"/>
      <c r="J185" s="784"/>
      <c r="K185" s="785"/>
    </row>
    <row r="186" spans="1:11" ht="16.5" customHeight="1" thickBot="1">
      <c r="A186" s="789"/>
      <c r="B186" s="790"/>
      <c r="C186" s="841"/>
      <c r="D186" s="841"/>
      <c r="E186" s="840"/>
      <c r="F186" s="840"/>
      <c r="G186" s="840"/>
      <c r="H186" s="783"/>
      <c r="I186" s="784"/>
      <c r="J186" s="784"/>
      <c r="K186" s="785"/>
    </row>
    <row r="187" spans="1:11" ht="15.75" customHeight="1" thickBot="1">
      <c r="A187" s="789"/>
      <c r="B187" s="790"/>
      <c r="C187" s="841"/>
      <c r="D187" s="841"/>
      <c r="E187" s="840"/>
      <c r="F187" s="840"/>
      <c r="G187" s="840"/>
      <c r="H187" s="783"/>
      <c r="I187" s="784"/>
      <c r="J187" s="784"/>
      <c r="K187" s="785"/>
    </row>
    <row r="188" spans="1:11" ht="16.5" customHeight="1" thickBot="1">
      <c r="A188" s="789"/>
      <c r="B188" s="790"/>
      <c r="C188" s="841"/>
      <c r="D188" s="841"/>
      <c r="E188" s="840"/>
      <c r="F188" s="840"/>
      <c r="G188" s="840"/>
      <c r="H188" s="783"/>
      <c r="I188" s="784"/>
      <c r="J188" s="784"/>
      <c r="K188" s="785"/>
    </row>
    <row r="189" spans="1:11" ht="15.75" customHeight="1" thickBot="1">
      <c r="A189" s="789"/>
      <c r="B189" s="790"/>
      <c r="C189" s="841"/>
      <c r="D189" s="841"/>
      <c r="E189" s="840"/>
      <c r="F189" s="840"/>
      <c r="G189" s="840"/>
      <c r="H189" s="783"/>
      <c r="I189" s="784"/>
      <c r="J189" s="784"/>
      <c r="K189" s="785"/>
    </row>
    <row r="190" spans="1:11" ht="16.5" customHeight="1" thickBot="1">
      <c r="A190" s="789"/>
      <c r="B190" s="790"/>
      <c r="C190" s="841"/>
      <c r="D190" s="841"/>
      <c r="E190" s="840"/>
      <c r="F190" s="840"/>
      <c r="G190" s="840"/>
      <c r="H190" s="783"/>
      <c r="I190" s="784"/>
      <c r="J190" s="784"/>
      <c r="K190" s="785"/>
    </row>
    <row r="191" spans="1:11" ht="15.75" customHeight="1" thickBot="1">
      <c r="A191" s="789"/>
      <c r="B191" s="790"/>
      <c r="C191" s="841"/>
      <c r="D191" s="841"/>
      <c r="E191" s="840"/>
      <c r="F191" s="840"/>
      <c r="G191" s="840"/>
      <c r="H191" s="783"/>
      <c r="I191" s="784"/>
      <c r="J191" s="784"/>
      <c r="K191" s="785"/>
    </row>
    <row r="192" spans="1:11" ht="16.5" customHeight="1" thickBot="1">
      <c r="A192" s="789"/>
      <c r="B192" s="790"/>
      <c r="C192" s="841"/>
      <c r="D192" s="841"/>
      <c r="E192" s="840"/>
      <c r="F192" s="840"/>
      <c r="G192" s="840"/>
      <c r="H192" s="783"/>
      <c r="I192" s="784"/>
      <c r="J192" s="784"/>
      <c r="K192" s="785"/>
    </row>
    <row r="193" spans="1:11" ht="16.5" customHeight="1" thickBot="1">
      <c r="A193" s="789"/>
      <c r="B193" s="790"/>
      <c r="C193" s="841"/>
      <c r="D193" s="841"/>
      <c r="E193" s="840"/>
      <c r="F193" s="840"/>
      <c r="G193" s="840"/>
      <c r="H193" s="783"/>
      <c r="I193" s="784"/>
      <c r="J193" s="784"/>
      <c r="K193" s="785"/>
    </row>
    <row r="194" spans="1:11" ht="15.75" customHeight="1" thickBot="1">
      <c r="A194" s="789"/>
      <c r="B194" s="790"/>
      <c r="C194" s="841"/>
      <c r="D194" s="841"/>
      <c r="E194" s="840"/>
      <c r="F194" s="840"/>
      <c r="G194" s="840"/>
      <c r="H194" s="783"/>
      <c r="I194" s="784"/>
      <c r="J194" s="784"/>
      <c r="K194" s="785"/>
    </row>
    <row r="195" spans="1:11" ht="16.5" customHeight="1" thickBot="1">
      <c r="A195" s="789"/>
      <c r="B195" s="790"/>
      <c r="C195" s="841"/>
      <c r="D195" s="841"/>
      <c r="E195" s="840"/>
      <c r="F195" s="840"/>
      <c r="G195" s="840"/>
      <c r="H195" s="783"/>
      <c r="I195" s="784"/>
      <c r="J195" s="784"/>
      <c r="K195" s="785"/>
    </row>
    <row r="196" spans="1:11" ht="16.5" customHeight="1" thickBot="1">
      <c r="A196" s="789"/>
      <c r="B196" s="790"/>
      <c r="C196" s="841"/>
      <c r="D196" s="841"/>
      <c r="E196" s="840"/>
      <c r="F196" s="840"/>
      <c r="G196" s="840"/>
      <c r="H196" s="783"/>
      <c r="I196" s="784"/>
      <c r="J196" s="784"/>
      <c r="K196" s="785"/>
    </row>
    <row r="197" spans="1:11" ht="15.75" customHeight="1" thickBot="1">
      <c r="A197" s="789"/>
      <c r="B197" s="790"/>
      <c r="C197" s="841"/>
      <c r="D197" s="841"/>
      <c r="E197" s="840"/>
      <c r="F197" s="840"/>
      <c r="G197" s="840"/>
      <c r="H197" s="783"/>
      <c r="I197" s="784"/>
      <c r="J197" s="784"/>
      <c r="K197" s="785"/>
    </row>
    <row r="198" spans="1:11" ht="16.5" customHeight="1" thickBot="1">
      <c r="A198" s="789"/>
      <c r="B198" s="790"/>
      <c r="C198" s="841"/>
      <c r="D198" s="841"/>
      <c r="E198" s="840"/>
      <c r="F198" s="840"/>
      <c r="G198" s="840"/>
      <c r="H198" s="783"/>
      <c r="I198" s="784"/>
      <c r="J198" s="784"/>
      <c r="K198" s="785"/>
    </row>
    <row r="199" spans="1:11" ht="15.75" customHeight="1" thickBot="1">
      <c r="A199" s="789"/>
      <c r="B199" s="790"/>
      <c r="C199" s="841"/>
      <c r="D199" s="841"/>
      <c r="E199" s="840"/>
      <c r="F199" s="840"/>
      <c r="G199" s="840"/>
      <c r="H199" s="783"/>
      <c r="I199" s="784"/>
      <c r="J199" s="784"/>
      <c r="K199" s="785"/>
    </row>
    <row r="200" spans="1:11" ht="17.25" customHeight="1" thickTop="1">
      <c r="A200" s="838" t="s">
        <v>317</v>
      </c>
      <c r="B200" s="839"/>
      <c r="C200" s="839"/>
      <c r="D200" s="839"/>
      <c r="E200" s="839"/>
      <c r="F200" s="839"/>
      <c r="G200" s="839"/>
      <c r="H200" s="839"/>
      <c r="I200" s="839"/>
      <c r="J200" s="669" t="str">
        <f>IF(Std5NotCalc="","",IF(Std5NotCalc="N","NA",IF(Std10dot4NotCalc="","",IF(Std10dot4NotCalc="N","NA",IF(COUNTIF(C180:C199,"&gt; 0"),"N","Y")))))</f>
        <v/>
      </c>
      <c r="K200" s="670"/>
    </row>
    <row r="201" spans="1:11" ht="15" customHeight="1">
      <c r="A201" s="824" t="s">
        <v>1114</v>
      </c>
      <c r="B201" s="825"/>
      <c r="C201" s="825"/>
      <c r="D201" s="825"/>
      <c r="E201" s="825"/>
      <c r="F201" s="825"/>
      <c r="G201" s="825"/>
      <c r="H201" s="825"/>
      <c r="I201" s="826"/>
      <c r="J201" s="671"/>
      <c r="K201" s="672"/>
    </row>
    <row r="202" spans="1:11" ht="15" customHeight="1" thickBot="1">
      <c r="A202" s="827"/>
      <c r="B202" s="828"/>
      <c r="C202" s="828"/>
      <c r="D202" s="828"/>
      <c r="E202" s="828"/>
      <c r="F202" s="828"/>
      <c r="G202" s="828"/>
      <c r="H202" s="828"/>
      <c r="I202" s="829"/>
      <c r="J202" s="673"/>
      <c r="K202" s="674"/>
    </row>
    <row r="203" spans="1:11" ht="15.75" customHeight="1" thickTop="1">
      <c r="A203" s="505" t="s">
        <v>233</v>
      </c>
      <c r="B203" s="818" t="s">
        <v>473</v>
      </c>
      <c r="C203" s="819"/>
      <c r="D203" s="819"/>
      <c r="E203" s="819"/>
      <c r="F203" s="819"/>
      <c r="G203" s="819"/>
      <c r="H203" s="819"/>
      <c r="I203" s="819"/>
      <c r="J203" s="819"/>
      <c r="K203" s="820"/>
    </row>
    <row r="204" spans="1:11" ht="15" customHeight="1">
      <c r="A204" s="505"/>
      <c r="B204" s="853"/>
      <c r="C204" s="854"/>
      <c r="D204" s="854"/>
      <c r="E204" s="854"/>
      <c r="F204" s="854"/>
      <c r="G204" s="854"/>
      <c r="H204" s="854"/>
      <c r="I204" s="854"/>
      <c r="J204" s="854"/>
      <c r="K204" s="855"/>
    </row>
    <row r="205" spans="1:11" ht="27" customHeight="1">
      <c r="A205" s="505"/>
      <c r="B205" s="487" t="s">
        <v>474</v>
      </c>
      <c r="C205" s="488"/>
      <c r="D205" s="488"/>
      <c r="E205" s="488"/>
      <c r="F205" s="488"/>
      <c r="G205" s="488"/>
      <c r="H205" s="488"/>
      <c r="I205" s="488"/>
      <c r="J205" s="488"/>
      <c r="K205" s="489"/>
    </row>
    <row r="206" spans="1:11" ht="68.25" customHeight="1" thickBot="1">
      <c r="A206" s="506"/>
      <c r="B206" s="487" t="s">
        <v>475</v>
      </c>
      <c r="C206" s="488"/>
      <c r="D206" s="488"/>
      <c r="E206" s="488"/>
      <c r="F206" s="488"/>
      <c r="G206" s="488"/>
      <c r="H206" s="488"/>
      <c r="I206" s="488"/>
      <c r="J206" s="488"/>
      <c r="K206" s="489"/>
    </row>
    <row r="207" spans="1:11" ht="53.25" customHeight="1" thickTop="1" thickBot="1">
      <c r="A207" s="1129" t="s">
        <v>858</v>
      </c>
      <c r="B207" s="1130"/>
      <c r="C207" s="1130"/>
      <c r="D207" s="1130"/>
      <c r="E207" s="1130"/>
      <c r="F207" s="1130"/>
      <c r="G207" s="1130"/>
      <c r="H207" s="1130"/>
      <c r="I207" s="1130"/>
      <c r="J207" s="1130"/>
      <c r="K207" s="1131"/>
    </row>
    <row r="208" spans="1:11" ht="16.5" customHeight="1" thickTop="1" thickBot="1">
      <c r="A208" s="968" t="s">
        <v>21</v>
      </c>
      <c r="B208" s="969"/>
      <c r="C208" s="969" t="s">
        <v>22</v>
      </c>
      <c r="D208" s="969"/>
      <c r="E208" s="970" t="s">
        <v>23</v>
      </c>
      <c r="F208" s="971"/>
      <c r="G208" s="971"/>
      <c r="H208" s="971"/>
      <c r="I208" s="971"/>
      <c r="J208" s="971"/>
      <c r="K208" s="972"/>
    </row>
    <row r="209" spans="1:11" ht="15.75" customHeight="1" thickBot="1">
      <c r="A209" s="738" t="s">
        <v>185</v>
      </c>
      <c r="B209" s="1115"/>
      <c r="C209" s="1115" t="s">
        <v>151</v>
      </c>
      <c r="D209" s="1115"/>
      <c r="E209" s="1116" t="s">
        <v>315</v>
      </c>
      <c r="F209" s="998"/>
      <c r="G209" s="998"/>
      <c r="H209" s="998"/>
      <c r="I209" s="998"/>
      <c r="J209" s="998"/>
      <c r="K209" s="1135"/>
    </row>
    <row r="210" spans="1:11" ht="16.5" customHeight="1" thickBot="1">
      <c r="A210" s="789"/>
      <c r="B210" s="790"/>
      <c r="C210" s="841"/>
      <c r="D210" s="841"/>
      <c r="E210" s="783"/>
      <c r="F210" s="784"/>
      <c r="G210" s="784"/>
      <c r="H210" s="784"/>
      <c r="I210" s="784"/>
      <c r="J210" s="784"/>
      <c r="K210" s="785"/>
    </row>
    <row r="211" spans="1:11" ht="15.75" customHeight="1" thickBot="1">
      <c r="A211" s="789"/>
      <c r="B211" s="790"/>
      <c r="C211" s="841"/>
      <c r="D211" s="841"/>
      <c r="E211" s="783"/>
      <c r="F211" s="784"/>
      <c r="G211" s="784"/>
      <c r="H211" s="784"/>
      <c r="I211" s="784"/>
      <c r="J211" s="784"/>
      <c r="K211" s="785"/>
    </row>
    <row r="212" spans="1:11" ht="16.5" customHeight="1" thickBot="1">
      <c r="A212" s="789"/>
      <c r="B212" s="790"/>
      <c r="C212" s="841"/>
      <c r="D212" s="841"/>
      <c r="E212" s="783"/>
      <c r="F212" s="784"/>
      <c r="G212" s="784"/>
      <c r="H212" s="784"/>
      <c r="I212" s="784"/>
      <c r="J212" s="784"/>
      <c r="K212" s="785"/>
    </row>
    <row r="213" spans="1:11" ht="16.5" customHeight="1" thickBot="1">
      <c r="A213" s="789"/>
      <c r="B213" s="790"/>
      <c r="C213" s="841"/>
      <c r="D213" s="841"/>
      <c r="E213" s="783"/>
      <c r="F213" s="784"/>
      <c r="G213" s="784"/>
      <c r="H213" s="784"/>
      <c r="I213" s="784"/>
      <c r="J213" s="784"/>
      <c r="K213" s="785"/>
    </row>
    <row r="214" spans="1:11" ht="15.75" customHeight="1" thickBot="1">
      <c r="A214" s="789"/>
      <c r="B214" s="790"/>
      <c r="C214" s="841"/>
      <c r="D214" s="841"/>
      <c r="E214" s="783"/>
      <c r="F214" s="784"/>
      <c r="G214" s="784"/>
      <c r="H214" s="784"/>
      <c r="I214" s="784"/>
      <c r="J214" s="784"/>
      <c r="K214" s="785"/>
    </row>
    <row r="215" spans="1:11" ht="16.5" customHeight="1" thickBot="1">
      <c r="A215" s="789"/>
      <c r="B215" s="790"/>
      <c r="C215" s="841"/>
      <c r="D215" s="841"/>
      <c r="E215" s="783"/>
      <c r="F215" s="784"/>
      <c r="G215" s="784"/>
      <c r="H215" s="784"/>
      <c r="I215" s="784"/>
      <c r="J215" s="784"/>
      <c r="K215" s="785"/>
    </row>
    <row r="216" spans="1:11" ht="16.5" customHeight="1" thickBot="1">
      <c r="A216" s="789"/>
      <c r="B216" s="790"/>
      <c r="C216" s="841"/>
      <c r="D216" s="841"/>
      <c r="E216" s="783"/>
      <c r="F216" s="784"/>
      <c r="G216" s="784"/>
      <c r="H216" s="784"/>
      <c r="I216" s="784"/>
      <c r="J216" s="784"/>
      <c r="K216" s="785"/>
    </row>
    <row r="217" spans="1:11" ht="15.75" customHeight="1" thickBot="1">
      <c r="A217" s="789"/>
      <c r="B217" s="790"/>
      <c r="C217" s="841"/>
      <c r="D217" s="841"/>
      <c r="E217" s="783"/>
      <c r="F217" s="784"/>
      <c r="G217" s="784"/>
      <c r="H217" s="784"/>
      <c r="I217" s="784"/>
      <c r="J217" s="784"/>
      <c r="K217" s="785"/>
    </row>
    <row r="218" spans="1:11" ht="16.5" customHeight="1" thickBot="1">
      <c r="A218" s="789"/>
      <c r="B218" s="790"/>
      <c r="C218" s="841"/>
      <c r="D218" s="841"/>
      <c r="E218" s="783"/>
      <c r="F218" s="784"/>
      <c r="G218" s="784"/>
      <c r="H218" s="784"/>
      <c r="I218" s="784"/>
      <c r="J218" s="784"/>
      <c r="K218" s="785"/>
    </row>
    <row r="219" spans="1:11" ht="15.75" customHeight="1" thickBot="1">
      <c r="A219" s="789"/>
      <c r="B219" s="790"/>
      <c r="C219" s="841"/>
      <c r="D219" s="841"/>
      <c r="E219" s="783"/>
      <c r="F219" s="784"/>
      <c r="G219" s="784"/>
      <c r="H219" s="784"/>
      <c r="I219" s="784"/>
      <c r="J219" s="784"/>
      <c r="K219" s="785"/>
    </row>
    <row r="220" spans="1:11" ht="16" thickTop="1">
      <c r="A220" s="838" t="s">
        <v>318</v>
      </c>
      <c r="B220" s="839"/>
      <c r="C220" s="839"/>
      <c r="D220" s="839"/>
      <c r="E220" s="839"/>
      <c r="F220" s="839"/>
      <c r="G220" s="839"/>
      <c r="H220" s="839"/>
      <c r="I220" s="839"/>
      <c r="J220" s="669" t="str">
        <f>IF(Std5NotCalc = "", "", IF(Std5NotCalc = "N", "NA", IF(Std10dot4NotCalc = "", "", IF(Std10dot4NotCalc = "N", "NA", IF(COUNTIF(C210:C219, "&gt; 0"), "N", "Y")))))</f>
        <v/>
      </c>
      <c r="K220" s="670"/>
    </row>
    <row r="221" spans="1:11" ht="15" customHeight="1">
      <c r="A221" s="439" t="s">
        <v>1115</v>
      </c>
      <c r="B221" s="440"/>
      <c r="C221" s="440"/>
      <c r="D221" s="440"/>
      <c r="E221" s="440"/>
      <c r="F221" s="440"/>
      <c r="G221" s="440"/>
      <c r="H221" s="440"/>
      <c r="I221" s="441"/>
      <c r="J221" s="671"/>
      <c r="K221" s="672"/>
    </row>
    <row r="222" spans="1:11" ht="15" customHeight="1" thickBot="1">
      <c r="A222" s="735"/>
      <c r="B222" s="736"/>
      <c r="C222" s="736"/>
      <c r="D222" s="736"/>
      <c r="E222" s="736"/>
      <c r="F222" s="736"/>
      <c r="G222" s="736"/>
      <c r="H222" s="736"/>
      <c r="I222" s="737"/>
      <c r="J222" s="673"/>
      <c r="K222" s="674"/>
    </row>
    <row r="223" spans="1:11" ht="27" customHeight="1" thickTop="1" thickBot="1">
      <c r="A223" s="505" t="s">
        <v>242</v>
      </c>
      <c r="B223" s="786" t="s">
        <v>953</v>
      </c>
      <c r="C223" s="787"/>
      <c r="D223" s="787"/>
      <c r="E223" s="787"/>
      <c r="F223" s="787"/>
      <c r="G223" s="787"/>
      <c r="H223" s="787"/>
      <c r="I223" s="788"/>
      <c r="J223" s="511" t="s">
        <v>415</v>
      </c>
      <c r="K223" s="512"/>
    </row>
    <row r="224" spans="1:11" ht="16.5" customHeight="1" thickTop="1" thickBot="1">
      <c r="A224" s="505"/>
      <c r="B224" s="776" t="s">
        <v>323</v>
      </c>
      <c r="C224" s="777"/>
      <c r="D224" s="777"/>
      <c r="E224" s="777"/>
      <c r="F224" s="777"/>
      <c r="G224" s="777"/>
      <c r="H224" s="777"/>
      <c r="I224" s="778"/>
      <c r="J224" s="774"/>
      <c r="K224" s="775"/>
    </row>
    <row r="225" spans="1:21" ht="15.75" customHeight="1" thickTop="1">
      <c r="A225" s="505"/>
      <c r="B225" s="818" t="s">
        <v>476</v>
      </c>
      <c r="C225" s="819"/>
      <c r="D225" s="819"/>
      <c r="E225" s="819"/>
      <c r="F225" s="819"/>
      <c r="G225" s="819"/>
      <c r="H225" s="819"/>
      <c r="I225" s="819"/>
      <c r="J225" s="819"/>
      <c r="K225" s="820"/>
    </row>
    <row r="226" spans="1:21" ht="16.5" customHeight="1" thickBot="1">
      <c r="A226" s="506"/>
      <c r="B226" s="821"/>
      <c r="C226" s="822"/>
      <c r="D226" s="822"/>
      <c r="E226" s="822"/>
      <c r="F226" s="822"/>
      <c r="G226" s="822"/>
      <c r="H226" s="822"/>
      <c r="I226" s="822"/>
      <c r="J226" s="822"/>
      <c r="K226" s="823"/>
    </row>
    <row r="227" spans="1:21" ht="51.75" customHeight="1" thickTop="1">
      <c r="A227" s="949" t="s">
        <v>319</v>
      </c>
      <c r="B227" s="950"/>
      <c r="C227" s="951"/>
      <c r="D227" s="959" t="s">
        <v>859</v>
      </c>
      <c r="E227" s="960"/>
      <c r="F227" s="959" t="s">
        <v>860</v>
      </c>
      <c r="G227" s="961"/>
      <c r="H227" s="581" t="s">
        <v>320</v>
      </c>
      <c r="I227" s="508"/>
      <c r="J227" s="581" t="s">
        <v>289</v>
      </c>
      <c r="K227" s="507"/>
      <c r="L227" s="581" t="s">
        <v>321</v>
      </c>
      <c r="M227" s="508"/>
      <c r="N227" s="959" t="s">
        <v>479</v>
      </c>
      <c r="O227" s="960"/>
      <c r="P227" s="960"/>
      <c r="Q227" s="960"/>
      <c r="R227" s="581" t="s">
        <v>322</v>
      </c>
      <c r="S227" s="508"/>
    </row>
    <row r="228" spans="1:21" ht="90.75" customHeight="1" thickBot="1">
      <c r="A228" s="952"/>
      <c r="B228" s="953"/>
      <c r="C228" s="954"/>
      <c r="D228" s="955" t="s">
        <v>287</v>
      </c>
      <c r="E228" s="956"/>
      <c r="F228" s="1137" t="s">
        <v>288</v>
      </c>
      <c r="G228" s="1138"/>
      <c r="H228" s="856"/>
      <c r="I228" s="857"/>
      <c r="J228" s="955" t="s">
        <v>290</v>
      </c>
      <c r="K228" s="956"/>
      <c r="L228" s="856"/>
      <c r="M228" s="857"/>
      <c r="N228" s="947" t="s">
        <v>6</v>
      </c>
      <c r="O228" s="948"/>
      <c r="P228" s="948" t="s">
        <v>9</v>
      </c>
      <c r="Q228" s="948"/>
      <c r="R228" s="856"/>
      <c r="S228" s="857"/>
      <c r="U228" s="43"/>
    </row>
    <row r="229" spans="1:21" ht="15" thickBot="1">
      <c r="A229" s="185"/>
      <c r="B229" s="973"/>
      <c r="C229" s="974"/>
      <c r="D229" s="957"/>
      <c r="E229" s="958"/>
      <c r="F229" s="957"/>
      <c r="G229" s="958"/>
      <c r="H229" s="945" t="str">
        <f>IF(OR(D229 = "", F229 = ""), "", D229 + F229)</f>
        <v/>
      </c>
      <c r="I229" s="946"/>
      <c r="J229" s="957"/>
      <c r="K229" s="1136"/>
      <c r="L229" s="945" t="str">
        <f>IF(OR(H229 = "", J229 = ""), "", H229 - J229)</f>
        <v/>
      </c>
      <c r="M229" s="946"/>
      <c r="N229" s="962"/>
      <c r="O229" s="963"/>
      <c r="P229" s="964"/>
      <c r="Q229" s="965"/>
      <c r="R229" s="966"/>
      <c r="S229" s="967"/>
    </row>
    <row r="230" spans="1:21" ht="27" customHeight="1" thickTop="1" thickBot="1">
      <c r="A230" s="1086" t="s">
        <v>477</v>
      </c>
      <c r="B230" s="1087"/>
      <c r="C230" s="1087"/>
      <c r="D230" s="1087"/>
      <c r="E230" s="1087"/>
      <c r="F230" s="1087"/>
      <c r="G230" s="1087"/>
      <c r="H230" s="1087"/>
      <c r="I230" s="1088"/>
      <c r="J230" s="751"/>
      <c r="K230" s="752"/>
      <c r="L230" s="37"/>
      <c r="M230" s="38"/>
      <c r="N230" s="38"/>
      <c r="O230" s="38"/>
      <c r="P230" s="38"/>
      <c r="Q230" s="11"/>
      <c r="R230" s="11"/>
      <c r="S230" s="11"/>
      <c r="T230" s="11"/>
    </row>
    <row r="231" spans="1:21" ht="29.25" customHeight="1" thickTop="1" thickBot="1">
      <c r="A231" s="1086" t="s">
        <v>478</v>
      </c>
      <c r="B231" s="1087"/>
      <c r="C231" s="1087"/>
      <c r="D231" s="1087"/>
      <c r="E231" s="1087"/>
      <c r="F231" s="1087"/>
      <c r="G231" s="1087"/>
      <c r="H231" s="1087"/>
      <c r="I231" s="1088"/>
      <c r="J231" s="1091" t="str">
        <f>IF(Std10dot6NotCalc="","",IF(Std10dot6NotCalc="N","NA",IF(H229&lt;=0,"NA",IF(J229&gt;0,IF(N229="","N","Y"), IF(J229 = "", "", "N")))))</f>
        <v/>
      </c>
      <c r="K231" s="1092"/>
      <c r="L231" s="12"/>
      <c r="M231" s="11"/>
      <c r="N231" s="11"/>
      <c r="O231" s="11"/>
      <c r="P231" s="11"/>
      <c r="Q231" s="11"/>
      <c r="R231" s="11"/>
      <c r="S231" s="11"/>
      <c r="T231" s="11"/>
    </row>
    <row r="232" spans="1:21" ht="27" customHeight="1" thickTop="1" thickBot="1">
      <c r="A232" s="1086" t="s">
        <v>324</v>
      </c>
      <c r="B232" s="1087"/>
      <c r="C232" s="1087"/>
      <c r="D232" s="1087"/>
      <c r="E232" s="1087"/>
      <c r="F232" s="1087"/>
      <c r="G232" s="1087"/>
      <c r="H232" s="1087"/>
      <c r="I232" s="1088"/>
      <c r="J232" s="1091" t="str">
        <f>IF(Std10dot6NotCalc="","",IF(Std10dot6NotCalc="N","NA",IF(H229&lt;=0,"NA",IF(L229=0,"Y",IF(L229&lt;&gt;"","N","")))))</f>
        <v/>
      </c>
      <c r="K232" s="1092"/>
      <c r="L232" s="12"/>
      <c r="M232" s="11"/>
      <c r="N232" s="11"/>
      <c r="O232" s="11"/>
      <c r="P232" s="11"/>
      <c r="Q232" s="11"/>
      <c r="R232" s="11"/>
      <c r="S232" s="11"/>
      <c r="T232" s="11"/>
    </row>
    <row r="233" spans="1:21" ht="31.5" customHeight="1" thickTop="1">
      <c r="A233" s="1132" t="s">
        <v>954</v>
      </c>
      <c r="B233" s="1133"/>
      <c r="C233" s="1133"/>
      <c r="D233" s="1133"/>
      <c r="E233" s="1133"/>
      <c r="F233" s="1133"/>
      <c r="G233" s="1133"/>
      <c r="H233" s="1133"/>
      <c r="I233" s="1134"/>
      <c r="J233" s="1125" t="str">
        <f>IF(Std5NotCalc="","",IF(Std5NotCalc="N","NA",IF(Std10dot6NotCalc="","",IF(Std10dot6NotCalc="N","NA",IF(Std10dot6a = "NA", "NA", IF(COUNTIF(J230:J232, "N") &gt; 0, "N", IF(COUNTIF(J230:J232, "Y") = 3, "Y", "")))))))</f>
        <v/>
      </c>
      <c r="K233" s="1126"/>
      <c r="L233" s="12"/>
      <c r="M233" s="11"/>
      <c r="N233" s="11"/>
      <c r="O233" s="11"/>
      <c r="P233" s="11"/>
      <c r="Q233" s="11"/>
      <c r="R233" s="11"/>
      <c r="S233" s="11"/>
      <c r="T233" s="11"/>
      <c r="U233" s="11"/>
    </row>
    <row r="234" spans="1:21" ht="15" customHeight="1">
      <c r="A234" s="853" t="s">
        <v>1116</v>
      </c>
      <c r="B234" s="854"/>
      <c r="C234" s="854"/>
      <c r="D234" s="854"/>
      <c r="E234" s="854"/>
      <c r="F234" s="854"/>
      <c r="G234" s="854"/>
      <c r="H234" s="854"/>
      <c r="I234" s="855"/>
      <c r="J234" s="1127"/>
      <c r="K234" s="1128"/>
      <c r="L234" s="439"/>
      <c r="M234" s="440"/>
      <c r="N234" s="440"/>
      <c r="O234" s="440"/>
      <c r="P234" s="11"/>
      <c r="Q234" s="11"/>
      <c r="R234" s="11"/>
      <c r="S234" s="11"/>
      <c r="T234" s="11"/>
      <c r="U234" s="11"/>
    </row>
    <row r="235" spans="1:21" ht="15" customHeight="1">
      <c r="A235" s="853"/>
      <c r="B235" s="854"/>
      <c r="C235" s="854"/>
      <c r="D235" s="854"/>
      <c r="E235" s="854"/>
      <c r="F235" s="854"/>
      <c r="G235" s="854"/>
      <c r="H235" s="854"/>
      <c r="I235" s="855"/>
      <c r="J235" s="1127"/>
      <c r="K235" s="1128"/>
      <c r="L235" s="439"/>
      <c r="M235" s="440"/>
      <c r="N235" s="440"/>
      <c r="O235" s="440"/>
      <c r="P235" s="11"/>
      <c r="Q235" s="11"/>
      <c r="R235" s="11"/>
      <c r="S235" s="11"/>
      <c r="T235" s="11"/>
      <c r="U235" s="11"/>
    </row>
    <row r="236" spans="1:21" ht="39" customHeight="1" thickBot="1">
      <c r="A236" s="439" t="s">
        <v>1117</v>
      </c>
      <c r="B236" s="440"/>
      <c r="C236" s="440"/>
      <c r="D236" s="440"/>
      <c r="E236" s="440"/>
      <c r="F236" s="440"/>
      <c r="G236" s="440"/>
      <c r="H236" s="440"/>
      <c r="I236" s="441"/>
      <c r="J236" s="1127"/>
      <c r="K236" s="1128"/>
      <c r="L236" s="439"/>
      <c r="M236" s="440"/>
      <c r="N236" s="440"/>
      <c r="O236" s="440"/>
      <c r="P236" s="11"/>
      <c r="Q236" s="11"/>
      <c r="R236" s="11"/>
      <c r="S236" s="11"/>
      <c r="T236" s="11"/>
      <c r="U236" s="11"/>
    </row>
    <row r="237" spans="1:21" ht="16.5" customHeight="1" thickTop="1" thickBot="1">
      <c r="A237" s="934" t="s">
        <v>291</v>
      </c>
      <c r="B237" s="935"/>
      <c r="C237" s="935"/>
      <c r="D237" s="935"/>
      <c r="E237" s="935"/>
      <c r="F237" s="935"/>
      <c r="G237" s="935"/>
      <c r="H237" s="935"/>
      <c r="I237" s="935"/>
      <c r="J237" s="935"/>
      <c r="K237" s="936"/>
    </row>
    <row r="238" spans="1:21" ht="38.25" customHeight="1" thickTop="1" thickBot="1">
      <c r="A238" s="370"/>
      <c r="B238" s="585" t="s">
        <v>1010</v>
      </c>
      <c r="C238" s="586"/>
      <c r="D238" s="586"/>
      <c r="E238" s="586"/>
      <c r="F238" s="586"/>
      <c r="G238" s="586"/>
      <c r="H238" s="586"/>
      <c r="I238" s="586"/>
      <c r="J238" s="586"/>
      <c r="K238" s="587"/>
      <c r="L238" s="77"/>
    </row>
    <row r="239" spans="1:21" ht="16" thickTop="1">
      <c r="A239" s="838" t="s">
        <v>938</v>
      </c>
      <c r="B239" s="839"/>
      <c r="C239" s="839"/>
      <c r="D239" s="839"/>
      <c r="E239" s="839"/>
      <c r="F239" s="839"/>
      <c r="G239" s="839"/>
      <c r="H239" s="839"/>
      <c r="I239" s="839"/>
      <c r="J239" s="577"/>
      <c r="K239" s="578"/>
    </row>
    <row r="240" spans="1:21">
      <c r="A240" s="830" t="s">
        <v>480</v>
      </c>
      <c r="B240" s="831"/>
      <c r="C240" s="831"/>
      <c r="D240" s="831"/>
      <c r="E240" s="831"/>
      <c r="F240" s="831"/>
      <c r="G240" s="831"/>
      <c r="H240" s="831"/>
      <c r="I240" s="831"/>
      <c r="J240" s="579"/>
      <c r="K240" s="580"/>
    </row>
    <row r="241" spans="1:11" ht="30" customHeight="1">
      <c r="A241" s="832" t="s">
        <v>1011</v>
      </c>
      <c r="B241" s="833"/>
      <c r="C241" s="833"/>
      <c r="D241" s="833"/>
      <c r="E241" s="833"/>
      <c r="F241" s="833"/>
      <c r="G241" s="833"/>
      <c r="H241" s="833"/>
      <c r="I241" s="834"/>
      <c r="J241" s="579"/>
      <c r="K241" s="580"/>
    </row>
    <row r="242" spans="1:11" ht="30" customHeight="1">
      <c r="A242" s="832" t="s">
        <v>1012</v>
      </c>
      <c r="B242" s="833"/>
      <c r="C242" s="833"/>
      <c r="D242" s="833"/>
      <c r="E242" s="833"/>
      <c r="F242" s="833"/>
      <c r="G242" s="833"/>
      <c r="H242" s="833"/>
      <c r="I242" s="834"/>
      <c r="J242" s="579"/>
      <c r="K242" s="580"/>
    </row>
    <row r="243" spans="1:11" ht="30" customHeight="1">
      <c r="A243" s="832" t="s">
        <v>1013</v>
      </c>
      <c r="B243" s="833"/>
      <c r="C243" s="833"/>
      <c r="D243" s="833"/>
      <c r="E243" s="833"/>
      <c r="F243" s="833"/>
      <c r="G243" s="833"/>
      <c r="H243" s="833"/>
      <c r="I243" s="834"/>
      <c r="J243" s="579"/>
      <c r="K243" s="580"/>
    </row>
    <row r="244" spans="1:11" ht="60" customHeight="1" thickBot="1">
      <c r="A244" s="835" t="s">
        <v>1139</v>
      </c>
      <c r="B244" s="836"/>
      <c r="C244" s="836"/>
      <c r="D244" s="836"/>
      <c r="E244" s="836"/>
      <c r="F244" s="836"/>
      <c r="G244" s="836"/>
      <c r="H244" s="836"/>
      <c r="I244" s="837"/>
      <c r="J244" s="675"/>
      <c r="K244" s="676"/>
    </row>
    <row r="245" spans="1:11" ht="28.5" customHeight="1" thickTop="1">
      <c r="A245" s="505" t="s">
        <v>292</v>
      </c>
      <c r="B245" s="487" t="s">
        <v>1118</v>
      </c>
      <c r="C245" s="488"/>
      <c r="D245" s="488"/>
      <c r="E245" s="488"/>
      <c r="F245" s="488"/>
      <c r="G245" s="488"/>
      <c r="H245" s="488"/>
      <c r="I245" s="488"/>
      <c r="J245" s="488"/>
      <c r="K245" s="489"/>
    </row>
    <row r="246" spans="1:11">
      <c r="A246" s="505"/>
      <c r="B246" s="487" t="s">
        <v>481</v>
      </c>
      <c r="C246" s="488"/>
      <c r="D246" s="488"/>
      <c r="E246" s="488"/>
      <c r="F246" s="488"/>
      <c r="G246" s="488"/>
      <c r="H246" s="488"/>
      <c r="I246" s="488"/>
      <c r="J246" s="488"/>
      <c r="K246" s="489"/>
    </row>
    <row r="247" spans="1:11" ht="15" thickBot="1">
      <c r="A247" s="506"/>
      <c r="B247" s="815" t="s">
        <v>1014</v>
      </c>
      <c r="C247" s="816"/>
      <c r="D247" s="816"/>
      <c r="E247" s="816"/>
      <c r="F247" s="816"/>
      <c r="G247" s="816"/>
      <c r="H247" s="816"/>
      <c r="I247" s="816"/>
      <c r="J247" s="816"/>
      <c r="K247" s="817"/>
    </row>
    <row r="248" spans="1:11" ht="40.5" customHeight="1" thickTop="1">
      <c r="A248" s="797" t="s">
        <v>955</v>
      </c>
      <c r="B248" s="798"/>
      <c r="C248" s="798"/>
      <c r="D248" s="798"/>
      <c r="E248" s="798"/>
      <c r="F248" s="798"/>
      <c r="G248" s="798"/>
      <c r="H248" s="798"/>
      <c r="I248" s="799"/>
      <c r="J248" s="791"/>
      <c r="K248" s="792"/>
    </row>
    <row r="249" spans="1:11" ht="15" customHeight="1">
      <c r="A249" s="434" t="s">
        <v>1015</v>
      </c>
      <c r="B249" s="435"/>
      <c r="C249" s="435"/>
      <c r="D249" s="435"/>
      <c r="E249" s="435"/>
      <c r="F249" s="435"/>
      <c r="G249" s="435"/>
      <c r="H249" s="435"/>
      <c r="I249" s="436"/>
      <c r="J249" s="793"/>
      <c r="K249" s="794"/>
    </row>
    <row r="250" spans="1:11" ht="27" customHeight="1">
      <c r="A250" s="434" t="s">
        <v>1016</v>
      </c>
      <c r="B250" s="435"/>
      <c r="C250" s="435"/>
      <c r="D250" s="435"/>
      <c r="E250" s="435"/>
      <c r="F250" s="435"/>
      <c r="G250" s="435"/>
      <c r="H250" s="435"/>
      <c r="I250" s="436"/>
      <c r="J250" s="793"/>
      <c r="K250" s="794"/>
    </row>
    <row r="251" spans="1:11" ht="27" customHeight="1">
      <c r="A251" s="434" t="s">
        <v>1017</v>
      </c>
      <c r="B251" s="435"/>
      <c r="C251" s="435"/>
      <c r="D251" s="435"/>
      <c r="E251" s="435"/>
      <c r="F251" s="435"/>
      <c r="G251" s="435"/>
      <c r="H251" s="435"/>
      <c r="I251" s="436"/>
      <c r="J251" s="793"/>
      <c r="K251" s="794"/>
    </row>
    <row r="252" spans="1:11" ht="60" customHeight="1" thickBot="1">
      <c r="A252" s="434" t="s">
        <v>1119</v>
      </c>
      <c r="B252" s="435"/>
      <c r="C252" s="435"/>
      <c r="D252" s="435"/>
      <c r="E252" s="435"/>
      <c r="F252" s="435"/>
      <c r="G252" s="435"/>
      <c r="H252" s="435"/>
      <c r="I252" s="436"/>
      <c r="J252" s="793"/>
      <c r="K252" s="794"/>
    </row>
    <row r="253" spans="1:11" ht="15" customHeight="1" thickTop="1">
      <c r="A253" s="504" t="s">
        <v>244</v>
      </c>
      <c r="B253" s="818" t="s">
        <v>956</v>
      </c>
      <c r="C253" s="819"/>
      <c r="D253" s="819"/>
      <c r="E253" s="819"/>
      <c r="F253" s="819"/>
      <c r="G253" s="819"/>
      <c r="H253" s="819"/>
      <c r="I253" s="819"/>
      <c r="J253" s="819"/>
      <c r="K253" s="820"/>
    </row>
    <row r="254" spans="1:11" ht="15" customHeight="1" thickBot="1">
      <c r="A254" s="506"/>
      <c r="B254" s="821"/>
      <c r="C254" s="822"/>
      <c r="D254" s="822"/>
      <c r="E254" s="822"/>
      <c r="F254" s="822"/>
      <c r="G254" s="822"/>
      <c r="H254" s="822"/>
      <c r="I254" s="822"/>
      <c r="J254" s="822"/>
      <c r="K254" s="823"/>
    </row>
    <row r="255" spans="1:11" ht="26.25" customHeight="1" thickTop="1">
      <c r="A255" s="800" t="s">
        <v>957</v>
      </c>
      <c r="B255" s="801"/>
      <c r="C255" s="801"/>
      <c r="D255" s="801"/>
      <c r="E255" s="801"/>
      <c r="F255" s="801"/>
      <c r="G255" s="801"/>
      <c r="H255" s="801"/>
      <c r="I255" s="801"/>
      <c r="J255" s="801"/>
      <c r="K255" s="802"/>
    </row>
    <row r="256" spans="1:11" ht="15" customHeight="1">
      <c r="A256" s="824" t="s">
        <v>958</v>
      </c>
      <c r="B256" s="825"/>
      <c r="C256" s="825"/>
      <c r="D256" s="825"/>
      <c r="E256" s="825"/>
      <c r="F256" s="825"/>
      <c r="G256" s="825"/>
      <c r="H256" s="825"/>
      <c r="I256" s="825"/>
      <c r="J256" s="825"/>
      <c r="K256" s="826"/>
    </row>
    <row r="257" spans="1:20" ht="15.75" customHeight="1" thickBot="1">
      <c r="A257" s="827"/>
      <c r="B257" s="828"/>
      <c r="C257" s="828"/>
      <c r="D257" s="828"/>
      <c r="E257" s="828"/>
      <c r="F257" s="828"/>
      <c r="G257" s="828"/>
      <c r="H257" s="828"/>
      <c r="I257" s="828"/>
      <c r="J257" s="828"/>
      <c r="K257" s="829"/>
      <c r="L257" s="42"/>
    </row>
    <row r="258" spans="1:20" ht="37.5" customHeight="1" thickTop="1" thickBot="1">
      <c r="A258" s="412" t="s">
        <v>482</v>
      </c>
      <c r="B258" s="413"/>
      <c r="C258" s="795" t="s">
        <v>293</v>
      </c>
      <c r="D258" s="412" t="s">
        <v>868</v>
      </c>
      <c r="E258" s="413"/>
      <c r="F258" s="412" t="s">
        <v>861</v>
      </c>
      <c r="G258" s="413"/>
      <c r="H258" s="807" t="s">
        <v>862</v>
      </c>
      <c r="I258" s="809" t="s">
        <v>865</v>
      </c>
      <c r="J258" s="810"/>
      <c r="K258" s="803" t="s">
        <v>863</v>
      </c>
      <c r="L258" s="804"/>
      <c r="M258" s="869" t="s">
        <v>864</v>
      </c>
      <c r="N258" s="870"/>
    </row>
    <row r="259" spans="1:20" ht="39" customHeight="1" thickBot="1">
      <c r="A259" s="414"/>
      <c r="B259" s="415"/>
      <c r="C259" s="796"/>
      <c r="D259" s="876" t="s">
        <v>496</v>
      </c>
      <c r="E259" s="877"/>
      <c r="F259" s="813"/>
      <c r="G259" s="814"/>
      <c r="H259" s="808"/>
      <c r="I259" s="811"/>
      <c r="J259" s="812"/>
      <c r="K259" s="805"/>
      <c r="L259" s="806"/>
      <c r="M259" s="871"/>
      <c r="N259" s="866"/>
    </row>
    <row r="260" spans="1:20" ht="16.5" customHeight="1" thickBot="1">
      <c r="A260" s="874"/>
      <c r="B260" s="875"/>
      <c r="C260" s="359"/>
      <c r="D260" s="878"/>
      <c r="E260" s="879"/>
      <c r="F260" s="878"/>
      <c r="G260" s="879"/>
      <c r="H260" s="360"/>
      <c r="I260" s="872" t="str">
        <f>IF(COUNTBLANK(A260:H260)&gt;3,"",IF(H260="","",IF((F260/H260)*(C260)-(D260*C260)&lt;0,0,((F260/H260)*(C260))-(D260*C260))))</f>
        <v/>
      </c>
      <c r="J260" s="873"/>
      <c r="K260" s="874"/>
      <c r="L260" s="875"/>
      <c r="M260" s="874"/>
      <c r="N260" s="875"/>
      <c r="O260" s="363" t="str">
        <f>IF(COUNTBLANK(A260:N260)=14,"",IF(I260&lt;&gt;"",IF(I260&gt;0,IF(COUNTBLANK(K260:N260)&gt;2,"E",IF(M260-K260&lt;=70,"Y","N")),""),"E"))</f>
        <v/>
      </c>
      <c r="T260">
        <f>M260 - K260</f>
        <v>0</v>
      </c>
    </row>
    <row r="261" spans="1:20" ht="15" thickBot="1">
      <c r="A261" s="874"/>
      <c r="B261" s="875"/>
      <c r="C261" s="359"/>
      <c r="D261" s="878"/>
      <c r="E261" s="879"/>
      <c r="F261" s="878"/>
      <c r="G261" s="879"/>
      <c r="H261" s="360"/>
      <c r="I261" s="872" t="str">
        <f t="shared" ref="I261:I269" si="0">IF(COUNTBLANK(A261:H261)&gt;3,"",IF(H261="","",IF((F261/H261)*(C261)-(D261*C261)&lt;0,0,((F261/H261)*(C261))-(D261*C261))))</f>
        <v/>
      </c>
      <c r="J261" s="873"/>
      <c r="K261" s="874"/>
      <c r="L261" s="875"/>
      <c r="M261" s="874"/>
      <c r="N261" s="875"/>
      <c r="O261" s="363" t="str">
        <f t="shared" ref="O261:O269" si="1">IF(COUNTBLANK(A261:N261)=14,"",IF(I261&lt;&gt;"",IF(I261&gt;0,IF(COUNTBLANK(K261:N261)&gt;2,"E",IF(M261-K261&lt;=70,"Y","N")),""),"E"))</f>
        <v/>
      </c>
      <c r="T261">
        <f t="shared" ref="T261:T269" si="2">M261 - K261</f>
        <v>0</v>
      </c>
    </row>
    <row r="262" spans="1:20" ht="15" thickBot="1">
      <c r="A262" s="874"/>
      <c r="B262" s="875"/>
      <c r="C262" s="359"/>
      <c r="D262" s="878"/>
      <c r="E262" s="879"/>
      <c r="F262" s="878"/>
      <c r="G262" s="879"/>
      <c r="H262" s="360"/>
      <c r="I262" s="872" t="str">
        <f t="shared" si="0"/>
        <v/>
      </c>
      <c r="J262" s="873"/>
      <c r="K262" s="874"/>
      <c r="L262" s="875"/>
      <c r="M262" s="874"/>
      <c r="N262" s="875"/>
      <c r="O262" s="363" t="str">
        <f t="shared" si="1"/>
        <v/>
      </c>
      <c r="T262">
        <f t="shared" si="2"/>
        <v>0</v>
      </c>
    </row>
    <row r="263" spans="1:20" ht="15" thickBot="1">
      <c r="A263" s="874"/>
      <c r="B263" s="875"/>
      <c r="C263" s="359"/>
      <c r="D263" s="878"/>
      <c r="E263" s="879"/>
      <c r="F263" s="878"/>
      <c r="G263" s="879"/>
      <c r="H263" s="360"/>
      <c r="I263" s="872" t="str">
        <f t="shared" si="0"/>
        <v/>
      </c>
      <c r="J263" s="873"/>
      <c r="K263" s="874"/>
      <c r="L263" s="875"/>
      <c r="M263" s="874"/>
      <c r="N263" s="875"/>
      <c r="O263" s="363" t="str">
        <f t="shared" si="1"/>
        <v/>
      </c>
      <c r="T263">
        <f t="shared" si="2"/>
        <v>0</v>
      </c>
    </row>
    <row r="264" spans="1:20" ht="15" thickBot="1">
      <c r="A264" s="874"/>
      <c r="B264" s="875"/>
      <c r="C264" s="359"/>
      <c r="D264" s="878"/>
      <c r="E264" s="879"/>
      <c r="F264" s="878"/>
      <c r="G264" s="879"/>
      <c r="H264" s="360"/>
      <c r="I264" s="872" t="str">
        <f t="shared" si="0"/>
        <v/>
      </c>
      <c r="J264" s="873"/>
      <c r="K264" s="874"/>
      <c r="L264" s="875"/>
      <c r="M264" s="874"/>
      <c r="N264" s="875"/>
      <c r="O264" s="363" t="str">
        <f t="shared" si="1"/>
        <v/>
      </c>
      <c r="T264">
        <f t="shared" si="2"/>
        <v>0</v>
      </c>
    </row>
    <row r="265" spans="1:20" ht="15" thickBot="1">
      <c r="A265" s="874"/>
      <c r="B265" s="875"/>
      <c r="C265" s="359"/>
      <c r="D265" s="878"/>
      <c r="E265" s="879"/>
      <c r="F265" s="878"/>
      <c r="G265" s="879"/>
      <c r="H265" s="360"/>
      <c r="I265" s="872" t="str">
        <f t="shared" si="0"/>
        <v/>
      </c>
      <c r="J265" s="873"/>
      <c r="K265" s="874"/>
      <c r="L265" s="875"/>
      <c r="M265" s="874"/>
      <c r="N265" s="875"/>
      <c r="O265" s="363" t="str">
        <f t="shared" si="1"/>
        <v/>
      </c>
      <c r="T265">
        <f t="shared" si="2"/>
        <v>0</v>
      </c>
    </row>
    <row r="266" spans="1:20" ht="15" thickBot="1">
      <c r="A266" s="874"/>
      <c r="B266" s="875"/>
      <c r="C266" s="359"/>
      <c r="D266" s="878"/>
      <c r="E266" s="879"/>
      <c r="F266" s="878"/>
      <c r="G266" s="879"/>
      <c r="H266" s="360"/>
      <c r="I266" s="872" t="str">
        <f t="shared" si="0"/>
        <v/>
      </c>
      <c r="J266" s="873"/>
      <c r="K266" s="874"/>
      <c r="L266" s="875"/>
      <c r="M266" s="874"/>
      <c r="N266" s="875"/>
      <c r="O266" s="363" t="str">
        <f t="shared" si="1"/>
        <v/>
      </c>
      <c r="T266">
        <f t="shared" si="2"/>
        <v>0</v>
      </c>
    </row>
    <row r="267" spans="1:20" ht="15" thickBot="1">
      <c r="A267" s="874"/>
      <c r="B267" s="875"/>
      <c r="C267" s="359"/>
      <c r="D267" s="878"/>
      <c r="E267" s="879"/>
      <c r="F267" s="878"/>
      <c r="G267" s="879"/>
      <c r="H267" s="360"/>
      <c r="I267" s="872" t="str">
        <f t="shared" si="0"/>
        <v/>
      </c>
      <c r="J267" s="873"/>
      <c r="K267" s="874"/>
      <c r="L267" s="875"/>
      <c r="M267" s="874"/>
      <c r="N267" s="875"/>
      <c r="O267" s="363" t="str">
        <f t="shared" si="1"/>
        <v/>
      </c>
      <c r="T267">
        <f t="shared" si="2"/>
        <v>0</v>
      </c>
    </row>
    <row r="268" spans="1:20" ht="15" thickBot="1">
      <c r="A268" s="874"/>
      <c r="B268" s="875"/>
      <c r="C268" s="359"/>
      <c r="D268" s="878"/>
      <c r="E268" s="879"/>
      <c r="F268" s="878"/>
      <c r="G268" s="879"/>
      <c r="H268" s="360"/>
      <c r="I268" s="872" t="str">
        <f t="shared" si="0"/>
        <v/>
      </c>
      <c r="J268" s="873"/>
      <c r="K268" s="874"/>
      <c r="L268" s="875"/>
      <c r="M268" s="874"/>
      <c r="N268" s="875"/>
      <c r="O268" s="363" t="str">
        <f t="shared" si="1"/>
        <v/>
      </c>
      <c r="T268">
        <f t="shared" si="2"/>
        <v>0</v>
      </c>
    </row>
    <row r="269" spans="1:20" ht="15" thickBot="1">
      <c r="A269" s="880"/>
      <c r="B269" s="881"/>
      <c r="C269" s="361"/>
      <c r="D269" s="908"/>
      <c r="E269" s="909"/>
      <c r="F269" s="908"/>
      <c r="G269" s="909"/>
      <c r="H269" s="362"/>
      <c r="I269" s="872" t="str">
        <f t="shared" si="0"/>
        <v/>
      </c>
      <c r="J269" s="873"/>
      <c r="K269" s="880"/>
      <c r="L269" s="881"/>
      <c r="M269" s="874"/>
      <c r="N269" s="875"/>
      <c r="O269" s="363" t="str">
        <f t="shared" si="1"/>
        <v/>
      </c>
      <c r="T269">
        <f t="shared" si="2"/>
        <v>0</v>
      </c>
    </row>
    <row r="270" spans="1:20" ht="42" customHeight="1" thickTop="1">
      <c r="A270" s="509" t="s">
        <v>959</v>
      </c>
      <c r="B270" s="704"/>
      <c r="C270" s="704"/>
      <c r="D270" s="704"/>
      <c r="E270" s="704"/>
      <c r="F270" s="704"/>
      <c r="G270" s="704"/>
      <c r="H270" s="704"/>
      <c r="I270" s="704"/>
      <c r="J270" s="669" t="str">
        <f>IF(COUNTIF(O260:O269,"E")&gt;0,"",IF(COUNTIF(O260:O269,"N")&gt;0,"N",IF(COUNTIF(O260:O269,"Y")&gt;0,"Y","NA")))</f>
        <v>NA</v>
      </c>
      <c r="K270" s="670"/>
      <c r="L270" s="42"/>
      <c r="N270" s="5"/>
      <c r="O270" s="5"/>
      <c r="P270" s="5"/>
      <c r="Q270" s="5"/>
    </row>
    <row r="271" spans="1:20" ht="30" customHeight="1">
      <c r="A271" s="824" t="s">
        <v>1120</v>
      </c>
      <c r="B271" s="825"/>
      <c r="C271" s="825"/>
      <c r="D271" s="825"/>
      <c r="E271" s="825"/>
      <c r="F271" s="825"/>
      <c r="G271" s="825"/>
      <c r="H271" s="825"/>
      <c r="I271" s="826"/>
      <c r="J271" s="671"/>
      <c r="K271" s="672"/>
      <c r="L271" s="5"/>
      <c r="M271" s="5"/>
      <c r="N271" s="5"/>
      <c r="O271" s="5"/>
      <c r="P271" s="5"/>
      <c r="Q271" s="5"/>
    </row>
    <row r="272" spans="1:20" ht="33" customHeight="1" thickBot="1">
      <c r="A272" s="827"/>
      <c r="B272" s="828"/>
      <c r="C272" s="828"/>
      <c r="D272" s="828"/>
      <c r="E272" s="828"/>
      <c r="F272" s="828"/>
      <c r="G272" s="828"/>
      <c r="H272" s="828"/>
      <c r="I272" s="829"/>
      <c r="J272" s="673"/>
      <c r="K272" s="674"/>
      <c r="L272" s="49"/>
      <c r="M272" s="5"/>
      <c r="N272" s="5"/>
      <c r="O272" s="5"/>
      <c r="P272" s="5"/>
      <c r="Q272" s="5"/>
      <c r="R272" s="5"/>
      <c r="S272" s="5"/>
    </row>
    <row r="273" spans="1:21" ht="15.75" customHeight="1" thickTop="1">
      <c r="A273" s="504" t="s">
        <v>248</v>
      </c>
      <c r="B273" s="800" t="s">
        <v>493</v>
      </c>
      <c r="C273" s="801"/>
      <c r="D273" s="801"/>
      <c r="E273" s="801"/>
      <c r="F273" s="801"/>
      <c r="G273" s="801"/>
      <c r="H273" s="801"/>
      <c r="I273" s="801"/>
      <c r="J273" s="801"/>
      <c r="K273" s="802"/>
      <c r="L273" s="49"/>
      <c r="M273" s="5"/>
      <c r="N273" s="5"/>
      <c r="O273" s="5"/>
      <c r="P273" s="5"/>
      <c r="Q273" s="5"/>
      <c r="R273" s="5"/>
      <c r="S273" s="5"/>
    </row>
    <row r="274" spans="1:21" ht="15" customHeight="1">
      <c r="A274" s="505"/>
      <c r="B274" s="824"/>
      <c r="C274" s="825"/>
      <c r="D274" s="825"/>
      <c r="E274" s="825"/>
      <c r="F274" s="825"/>
      <c r="G274" s="825"/>
      <c r="H274" s="825"/>
      <c r="I274" s="825"/>
      <c r="J274" s="825"/>
      <c r="K274" s="826"/>
      <c r="L274" s="49"/>
      <c r="M274" s="5"/>
      <c r="N274" s="5"/>
      <c r="O274" s="5"/>
      <c r="P274" s="5"/>
      <c r="Q274" s="5"/>
      <c r="R274" s="5"/>
      <c r="S274" s="5"/>
      <c r="T274" s="5"/>
      <c r="U274" s="5"/>
    </row>
    <row r="275" spans="1:21" ht="15.75" customHeight="1" thickBot="1">
      <c r="A275" s="506"/>
      <c r="B275" s="827"/>
      <c r="C275" s="828"/>
      <c r="D275" s="828"/>
      <c r="E275" s="828"/>
      <c r="F275" s="828"/>
      <c r="G275" s="828"/>
      <c r="H275" s="828"/>
      <c r="I275" s="828"/>
      <c r="J275" s="828"/>
      <c r="K275" s="829"/>
      <c r="L275" s="49"/>
      <c r="M275" s="5"/>
      <c r="N275" s="5"/>
      <c r="O275" s="5"/>
      <c r="P275" s="5"/>
      <c r="Q275" s="5"/>
      <c r="R275" s="5"/>
      <c r="S275" s="5"/>
      <c r="T275" s="5"/>
      <c r="U275" s="5"/>
    </row>
    <row r="276" spans="1:21" ht="15.75" customHeight="1" thickTop="1" thickBot="1">
      <c r="A276" s="412" t="s">
        <v>484</v>
      </c>
      <c r="B276" s="413"/>
      <c r="C276" s="886" t="s">
        <v>294</v>
      </c>
      <c r="D276" s="887"/>
      <c r="E276" s="887"/>
      <c r="F276" s="887"/>
      <c r="G276" s="887"/>
      <c r="H276" s="888"/>
      <c r="I276" s="886" t="s">
        <v>295</v>
      </c>
      <c r="J276" s="887"/>
      <c r="K276" s="887"/>
      <c r="L276" s="887"/>
      <c r="M276" s="887"/>
      <c r="N276" s="888"/>
      <c r="O276" s="581" t="s">
        <v>492</v>
      </c>
      <c r="P276" s="507"/>
      <c r="Q276" s="507"/>
      <c r="R276" s="508"/>
      <c r="S276" s="5"/>
      <c r="T276" s="5"/>
      <c r="U276" s="5"/>
    </row>
    <row r="277" spans="1:21" ht="24.75" customHeight="1">
      <c r="A277" s="414"/>
      <c r="B277" s="415"/>
      <c r="C277" s="891" t="s">
        <v>485</v>
      </c>
      <c r="D277" s="892"/>
      <c r="E277" s="891" t="s">
        <v>486</v>
      </c>
      <c r="F277" s="892"/>
      <c r="G277" s="891" t="s">
        <v>487</v>
      </c>
      <c r="H277" s="892"/>
      <c r="I277" s="891" t="s">
        <v>488</v>
      </c>
      <c r="J277" s="892"/>
      <c r="K277" s="891" t="s">
        <v>490</v>
      </c>
      <c r="L277" s="892"/>
      <c r="M277" s="891" t="s">
        <v>491</v>
      </c>
      <c r="N277" s="892"/>
      <c r="O277" s="701"/>
      <c r="P277" s="702"/>
      <c r="Q277" s="702"/>
      <c r="R277" s="703"/>
      <c r="S277" s="5"/>
      <c r="T277" s="5"/>
      <c r="U277" s="5"/>
    </row>
    <row r="278" spans="1:21" ht="56.25" customHeight="1" thickBot="1">
      <c r="A278" s="417"/>
      <c r="B278" s="419"/>
      <c r="C278" s="898" t="s">
        <v>483</v>
      </c>
      <c r="D278" s="899"/>
      <c r="E278" s="417"/>
      <c r="F278" s="419"/>
      <c r="G278" s="417"/>
      <c r="H278" s="419"/>
      <c r="I278" s="898" t="s">
        <v>489</v>
      </c>
      <c r="J278" s="899"/>
      <c r="K278" s="417"/>
      <c r="L278" s="419"/>
      <c r="M278" s="417"/>
      <c r="N278" s="419"/>
      <c r="O278" s="895" t="s">
        <v>6</v>
      </c>
      <c r="P278" s="893"/>
      <c r="Q278" s="893" t="s">
        <v>9</v>
      </c>
      <c r="R278" s="894"/>
      <c r="S278" s="5"/>
      <c r="T278" s="5"/>
      <c r="U278" s="5"/>
    </row>
    <row r="279" spans="1:21" ht="15.5" thickTop="1" thickBot="1">
      <c r="A279" s="896"/>
      <c r="B279" s="897"/>
      <c r="C279" s="889"/>
      <c r="D279" s="890"/>
      <c r="E279" s="889"/>
      <c r="F279" s="890"/>
      <c r="G279" s="896"/>
      <c r="H279" s="897"/>
      <c r="I279" s="889"/>
      <c r="J279" s="890"/>
      <c r="K279" s="889"/>
      <c r="L279" s="890"/>
      <c r="M279" s="896"/>
      <c r="N279" s="897"/>
      <c r="O279" s="882"/>
      <c r="P279" s="883"/>
      <c r="Q279" s="884"/>
      <c r="R279" s="885"/>
      <c r="S279" s="5"/>
      <c r="T279" s="5"/>
      <c r="U279" s="5"/>
    </row>
    <row r="280" spans="1:21" ht="27.75" customHeight="1" thickTop="1" thickBot="1">
      <c r="A280" s="903" t="s">
        <v>494</v>
      </c>
      <c r="B280" s="904"/>
      <c r="C280" s="904"/>
      <c r="D280" s="904"/>
      <c r="E280" s="904"/>
      <c r="F280" s="904"/>
      <c r="G280" s="904"/>
      <c r="H280" s="904"/>
      <c r="I280" s="905"/>
      <c r="J280" s="906" t="str">
        <f>IF(Std10dot6NotCalc="","",IF(Std10dot6NotCalc="N","NA",IF(A279="","", IF(NOT(OR(Std11dot4RmBdAmtDue &gt; 0, Std11dot4CoPayAmtDue &gt; 0)), "NA", IF(AND(Std11dot4RmBdRfndDt = "", Std11dot4CoPayRfndDt = ""), "N", IF(OR(AND(Std11dot4RmBdRfndDt &lt;&gt; "", NOT(Std11dot4RmBdAmtDue &gt; 0)), AND(Std11dot4CoPayRfndDt &lt;&gt; "", NOT(Std11dot4CoPayAmtDue &gt; 0))), "", IF(OR(AND(Std11dot4RmBdRfndDt &lt;&gt; "", ABS(Std11dot4DtDeathDschg - Std11dot4RmBdRfndDt) &gt; 30), AND(Std11dot4CoPayRfndDt &lt;&gt; "", ABS(Std11dot4DtDeathDschg - Std11dot4CoPayRfndDt) &gt; 30)), "N", "Y")))))))</f>
        <v/>
      </c>
      <c r="K280" s="907"/>
      <c r="L280" s="11"/>
      <c r="M280" s="11"/>
      <c r="N280" s="11"/>
      <c r="O280" s="11"/>
      <c r="P280" s="11"/>
      <c r="Q280" s="11"/>
      <c r="R280" s="11"/>
      <c r="S280" s="11"/>
      <c r="T280" s="5"/>
      <c r="U280" s="5"/>
    </row>
    <row r="281" spans="1:21" ht="27" customHeight="1" thickBot="1">
      <c r="A281" s="903" t="s">
        <v>296</v>
      </c>
      <c r="B281" s="904"/>
      <c r="C281" s="904"/>
      <c r="D281" s="904"/>
      <c r="E281" s="904"/>
      <c r="F281" s="904"/>
      <c r="G281" s="904"/>
      <c r="H281" s="904"/>
      <c r="I281" s="905"/>
      <c r="J281" s="917"/>
      <c r="K281" s="657"/>
      <c r="L281" s="11"/>
      <c r="M281" s="11"/>
      <c r="N281" s="11"/>
      <c r="O281" s="11"/>
      <c r="P281" s="11"/>
      <c r="Q281" s="11"/>
      <c r="R281" s="11"/>
      <c r="S281" s="11"/>
      <c r="T281" s="5"/>
      <c r="U281" s="5"/>
    </row>
    <row r="282" spans="1:21" ht="15" customHeight="1" thickBot="1">
      <c r="A282" s="918" t="s">
        <v>297</v>
      </c>
      <c r="B282" s="919"/>
      <c r="C282" s="919"/>
      <c r="D282" s="919"/>
      <c r="E282" s="919"/>
      <c r="F282" s="919"/>
      <c r="G282" s="919"/>
      <c r="H282" s="919"/>
      <c r="I282" s="920"/>
      <c r="J282" s="906" t="str">
        <f>IF(Std10dot6NotCalc = "", "", IF(Std10dot6NotCalc = "N", "NA", IF(Std11dot4DtDeathDschg = "", "", IF(NOT(Std11dot4RmBdAmtDue &gt; 0), "NA", IF(OR(C279 = "", E279 = ""), "", IF(C279 = E279, "Y", "N"))))))</f>
        <v/>
      </c>
      <c r="K282" s="907"/>
      <c r="L282" s="11"/>
      <c r="M282" s="11"/>
      <c r="N282" s="11"/>
      <c r="O282" s="11"/>
      <c r="P282" s="11"/>
      <c r="Q282" s="11"/>
      <c r="R282" s="11"/>
      <c r="S282" s="11"/>
    </row>
    <row r="283" spans="1:21" ht="15" customHeight="1" thickBot="1">
      <c r="A283" s="900" t="s">
        <v>298</v>
      </c>
      <c r="B283" s="901"/>
      <c r="C283" s="901"/>
      <c r="D283" s="901"/>
      <c r="E283" s="901"/>
      <c r="F283" s="901"/>
      <c r="G283" s="901"/>
      <c r="H283" s="901"/>
      <c r="I283" s="902"/>
      <c r="J283" s="906"/>
      <c r="K283" s="907"/>
      <c r="L283" s="11"/>
      <c r="M283" s="11"/>
      <c r="N283" s="11"/>
      <c r="O283" s="11"/>
      <c r="P283" s="11"/>
      <c r="Q283" s="11"/>
      <c r="R283" s="11"/>
      <c r="S283" s="11"/>
    </row>
    <row r="284" spans="1:21" ht="15.75" customHeight="1" thickBot="1">
      <c r="A284" s="900" t="s">
        <v>495</v>
      </c>
      <c r="B284" s="901"/>
      <c r="C284" s="901"/>
      <c r="D284" s="901"/>
      <c r="E284" s="901"/>
      <c r="F284" s="901"/>
      <c r="G284" s="901"/>
      <c r="H284" s="901"/>
      <c r="I284" s="901"/>
      <c r="J284" s="915" t="str">
        <f>IF(Std10dot6NotCalc = "", "", IF(Std10dot6NotCalc = "N", "NA", IF(Std11dot4DtDeathDschg = "", "", IF(NOT(Std11dot4CoPayAmtDue &gt; 0), "NA", IF(Std11dot4CoPayAmtRfnd = Std11dot4CoPayAmtDue, "Y", "N")))))</f>
        <v/>
      </c>
      <c r="K284" s="916"/>
      <c r="L284" s="11"/>
      <c r="M284" s="11"/>
      <c r="N284" s="11"/>
      <c r="O284" s="11"/>
      <c r="P284" s="11"/>
      <c r="Q284" s="11"/>
      <c r="R284" s="11"/>
      <c r="S284" s="11"/>
    </row>
    <row r="285" spans="1:21" ht="47.25" customHeight="1" thickTop="1">
      <c r="A285" s="845" t="s">
        <v>960</v>
      </c>
      <c r="B285" s="846"/>
      <c r="C285" s="846"/>
      <c r="D285" s="846"/>
      <c r="E285" s="846"/>
      <c r="F285" s="846"/>
      <c r="G285" s="846"/>
      <c r="H285" s="846"/>
      <c r="I285" s="846"/>
      <c r="J285" s="669" t="str">
        <f>IF(Std10dot6NotCalc = "", "", IF(Std10dot6NotCalc = "N", "NA", IF(COUNTBLANK(J280:J284) &gt; 1, "", IF(COUNTIF(J280:J284, "N") &gt; 0, "N", IF(COUNTIF(J280:J284, "NA") = 4, "NA", "Y")))))</f>
        <v/>
      </c>
      <c r="K285" s="910"/>
      <c r="L285" s="11"/>
      <c r="M285" s="11"/>
      <c r="N285" s="11"/>
      <c r="O285" s="11"/>
      <c r="P285" s="11"/>
      <c r="Q285" s="11"/>
      <c r="R285" s="11"/>
      <c r="S285" s="11"/>
    </row>
    <row r="286" spans="1:21" ht="30" customHeight="1">
      <c r="A286" s="824" t="s">
        <v>1121</v>
      </c>
      <c r="B286" s="825"/>
      <c r="C286" s="825"/>
      <c r="D286" s="825"/>
      <c r="E286" s="825"/>
      <c r="F286" s="825"/>
      <c r="G286" s="825"/>
      <c r="H286" s="825"/>
      <c r="I286" s="826"/>
      <c r="J286" s="911"/>
      <c r="K286" s="912"/>
      <c r="L286" s="11"/>
      <c r="M286" s="11"/>
      <c r="N286" s="11"/>
      <c r="O286" s="11"/>
      <c r="P286" s="11"/>
      <c r="Q286" s="11"/>
      <c r="R286" s="11"/>
      <c r="S286" s="11"/>
    </row>
    <row r="287" spans="1:21" ht="30" customHeight="1" thickBot="1">
      <c r="A287" s="827"/>
      <c r="B287" s="828"/>
      <c r="C287" s="828"/>
      <c r="D287" s="828"/>
      <c r="E287" s="828"/>
      <c r="F287" s="828"/>
      <c r="G287" s="828"/>
      <c r="H287" s="828"/>
      <c r="I287" s="829"/>
      <c r="J287" s="913"/>
      <c r="K287" s="914"/>
      <c r="L287" s="11"/>
      <c r="M287" s="11"/>
      <c r="N287" s="11"/>
      <c r="O287" s="11"/>
      <c r="P287" s="11"/>
      <c r="Q287" s="11"/>
      <c r="R287" s="11"/>
      <c r="S287" s="11"/>
    </row>
    <row r="288" spans="1:21" ht="15" thickTop="1">
      <c r="A288" s="32"/>
      <c r="B288" s="32"/>
      <c r="C288" s="32"/>
      <c r="D288" s="32"/>
      <c r="E288" s="32"/>
      <c r="F288" s="32"/>
      <c r="G288" s="32"/>
      <c r="H288" s="32"/>
      <c r="I288" s="32"/>
      <c r="J288" s="32"/>
      <c r="K288" s="32"/>
      <c r="L288" s="11"/>
      <c r="M288" s="11"/>
      <c r="N288" s="11"/>
      <c r="O288" s="11"/>
      <c r="P288" s="11"/>
      <c r="Q288" s="11"/>
      <c r="R288" s="11"/>
      <c r="S288" s="11"/>
    </row>
    <row r="289" spans="1:1" ht="15.5">
      <c r="A289" s="33"/>
    </row>
  </sheetData>
  <sheetProtection algorithmName="SHA-512" hashValue="/d1yhQGZ5VbwuHww6QefdNRENu4ya+UQZnxllyxRliQi4w4OlxYMLb7bZ+wXD1XsgM05Ka+PyXxmBNY0+0dhLg==" saltValue="LTC8gqDIRg1lFbmEoNCgcw==" spinCount="100000" sheet="1" objects="1" scenarios="1" selectLockedCells="1"/>
  <dataConsolidate/>
  <customSheetViews>
    <customSheetView guid="{E1D23BD2-FE11-448B-A102-D2461140BE5A}"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1"/>
      <headerFooter>
        <oddHeader>&amp;L&amp;"Arial,Regular"&amp;8Texas Department
of Aging and
Disability Services&amp;C&amp;"Arial,Bold"&amp;12ADULT FOSTER CARE
INDIVIDUAL WORK PAPER&amp;R&amp;"Arial,Regular"&amp;8Form TBD
Page &amp;P</oddHeader>
      </headerFooter>
    </customSheetView>
    <customSheetView guid="{B71FF06E-B5A8-4FBF-B20E-2B604DE9BFBD}" hiddenColumns="1">
      <selection activeCell="D2" sqref="D2:E2"/>
      <rowBreaks count="6" manualBreakCount="6">
        <brk id="32" max="16383" man="1"/>
        <brk id="113" max="16383" man="1"/>
        <brk id="167" max="16383" man="1"/>
        <brk id="236" max="16383" man="1"/>
        <brk id="252" max="16383" man="1"/>
        <brk id="272" max="16383" man="1"/>
      </rowBreaks>
      <pageMargins left="0.5" right="0.5" top="1" bottom="0.75" header="0.25" footer="0.25"/>
      <pageSetup scale="64" fitToHeight="19" orientation="landscape" r:id="rId2"/>
      <headerFooter>
        <oddHeader>&amp;L&amp;"Arial,Regular"&amp;8Texas Department
of Aging and
Disability Services&amp;C&amp;"Arial,Bold"&amp;12ADULT FOSTER CARE
INDIVIDUAL WORK PAPER&amp;R&amp;"Arial,Regular"&amp;8Form TBD
Page &amp;P</oddHeader>
      </headerFooter>
    </customSheetView>
  </customSheetViews>
  <mergeCells count="616">
    <mergeCell ref="A284:I284"/>
    <mergeCell ref="J284:K284"/>
    <mergeCell ref="A285:I285"/>
    <mergeCell ref="J285:K287"/>
    <mergeCell ref="A286:I287"/>
    <mergeCell ref="A280:I280"/>
    <mergeCell ref="J280:K280"/>
    <mergeCell ref="A281:I281"/>
    <mergeCell ref="J281:K281"/>
    <mergeCell ref="A282:I282"/>
    <mergeCell ref="J282:K283"/>
    <mergeCell ref="A283:I283"/>
    <mergeCell ref="A279:B279"/>
    <mergeCell ref="C279:D279"/>
    <mergeCell ref="E279:F279"/>
    <mergeCell ref="G279:H279"/>
    <mergeCell ref="I279:J279"/>
    <mergeCell ref="K279:L279"/>
    <mergeCell ref="M279:N279"/>
    <mergeCell ref="O279:P279"/>
    <mergeCell ref="Q279:R279"/>
    <mergeCell ref="O276:R277"/>
    <mergeCell ref="C277:D277"/>
    <mergeCell ref="E277:F278"/>
    <mergeCell ref="G277:H278"/>
    <mergeCell ref="I277:J277"/>
    <mergeCell ref="K277:L278"/>
    <mergeCell ref="M277:N278"/>
    <mergeCell ref="C278:D278"/>
    <mergeCell ref="I278:J278"/>
    <mergeCell ref="O278:P278"/>
    <mergeCell ref="Q278:R278"/>
    <mergeCell ref="A270:I270"/>
    <mergeCell ref="J270:K272"/>
    <mergeCell ref="A271:I272"/>
    <mergeCell ref="A273:A275"/>
    <mergeCell ref="B273:K275"/>
    <mergeCell ref="A276:B278"/>
    <mergeCell ref="C276:H276"/>
    <mergeCell ref="I276:N276"/>
    <mergeCell ref="A269:B269"/>
    <mergeCell ref="D269:E269"/>
    <mergeCell ref="F269:G269"/>
    <mergeCell ref="I269:J269"/>
    <mergeCell ref="K269:L269"/>
    <mergeCell ref="M269:N269"/>
    <mergeCell ref="A268:B268"/>
    <mergeCell ref="D268:E268"/>
    <mergeCell ref="F268:G268"/>
    <mergeCell ref="I268:J268"/>
    <mergeCell ref="K268:L268"/>
    <mergeCell ref="M268:N268"/>
    <mergeCell ref="A267:B267"/>
    <mergeCell ref="D267:E267"/>
    <mergeCell ref="F267:G267"/>
    <mergeCell ref="I267:J267"/>
    <mergeCell ref="K267:L267"/>
    <mergeCell ref="M267:N267"/>
    <mergeCell ref="A266:B266"/>
    <mergeCell ref="D266:E266"/>
    <mergeCell ref="F266:G266"/>
    <mergeCell ref="I266:J266"/>
    <mergeCell ref="K266:L266"/>
    <mergeCell ref="M266:N266"/>
    <mergeCell ref="A265:B265"/>
    <mergeCell ref="D265:E265"/>
    <mergeCell ref="F265:G265"/>
    <mergeCell ref="I265:J265"/>
    <mergeCell ref="K265:L265"/>
    <mergeCell ref="M265:N265"/>
    <mergeCell ref="A264:B264"/>
    <mergeCell ref="D264:E264"/>
    <mergeCell ref="F264:G264"/>
    <mergeCell ref="I264:J264"/>
    <mergeCell ref="K264:L264"/>
    <mergeCell ref="M264:N264"/>
    <mergeCell ref="A263:B263"/>
    <mergeCell ref="D263:E263"/>
    <mergeCell ref="F263:G263"/>
    <mergeCell ref="I263:J263"/>
    <mergeCell ref="K263:L263"/>
    <mergeCell ref="M263:N263"/>
    <mergeCell ref="M258:N259"/>
    <mergeCell ref="D259:E259"/>
    <mergeCell ref="A260:B260"/>
    <mergeCell ref="D260:E260"/>
    <mergeCell ref="F260:G260"/>
    <mergeCell ref="I260:J260"/>
    <mergeCell ref="K260:L260"/>
    <mergeCell ref="M260:N260"/>
    <mergeCell ref="A262:B262"/>
    <mergeCell ref="D262:E262"/>
    <mergeCell ref="F262:G262"/>
    <mergeCell ref="I262:J262"/>
    <mergeCell ref="K262:L262"/>
    <mergeCell ref="M262:N262"/>
    <mergeCell ref="A261:B261"/>
    <mergeCell ref="D261:E261"/>
    <mergeCell ref="F261:G261"/>
    <mergeCell ref="I261:J261"/>
    <mergeCell ref="K261:L261"/>
    <mergeCell ref="M261:N261"/>
    <mergeCell ref="A253:A254"/>
    <mergeCell ref="B253:K254"/>
    <mergeCell ref="A255:K255"/>
    <mergeCell ref="A256:K257"/>
    <mergeCell ref="A258:B259"/>
    <mergeCell ref="C258:C259"/>
    <mergeCell ref="D258:E258"/>
    <mergeCell ref="F258:G259"/>
    <mergeCell ref="H258:H259"/>
    <mergeCell ref="I258:J259"/>
    <mergeCell ref="K258:L259"/>
    <mergeCell ref="A245:A247"/>
    <mergeCell ref="B245:K245"/>
    <mergeCell ref="B246:K246"/>
    <mergeCell ref="B247:K247"/>
    <mergeCell ref="A248:I248"/>
    <mergeCell ref="J248:K252"/>
    <mergeCell ref="A249:I249"/>
    <mergeCell ref="A250:I250"/>
    <mergeCell ref="A251:I251"/>
    <mergeCell ref="A252:I252"/>
    <mergeCell ref="A237:K237"/>
    <mergeCell ref="B238:K238"/>
    <mergeCell ref="A239:I239"/>
    <mergeCell ref="J239:K244"/>
    <mergeCell ref="A240:I240"/>
    <mergeCell ref="A241:I241"/>
    <mergeCell ref="A242:I242"/>
    <mergeCell ref="A243:I243"/>
    <mergeCell ref="A244:I244"/>
    <mergeCell ref="A232:I232"/>
    <mergeCell ref="J232:K232"/>
    <mergeCell ref="A233:I233"/>
    <mergeCell ref="J233:K236"/>
    <mergeCell ref="A234:I235"/>
    <mergeCell ref="L234:O234"/>
    <mergeCell ref="L235:O235"/>
    <mergeCell ref="A236:I236"/>
    <mergeCell ref="L236:O236"/>
    <mergeCell ref="N229:O229"/>
    <mergeCell ref="P229:Q229"/>
    <mergeCell ref="R229:S229"/>
    <mergeCell ref="A230:I230"/>
    <mergeCell ref="J230:K230"/>
    <mergeCell ref="A231:I231"/>
    <mergeCell ref="J231:K231"/>
    <mergeCell ref="B229:C229"/>
    <mergeCell ref="D229:E229"/>
    <mergeCell ref="F229:G229"/>
    <mergeCell ref="H229:I229"/>
    <mergeCell ref="J229:K229"/>
    <mergeCell ref="L229:M229"/>
    <mergeCell ref="N227:Q227"/>
    <mergeCell ref="R227:S228"/>
    <mergeCell ref="D228:E228"/>
    <mergeCell ref="F228:G228"/>
    <mergeCell ref="J228:K228"/>
    <mergeCell ref="N228:O228"/>
    <mergeCell ref="P228:Q228"/>
    <mergeCell ref="A227:C228"/>
    <mergeCell ref="D227:E227"/>
    <mergeCell ref="F227:G227"/>
    <mergeCell ref="H227:I228"/>
    <mergeCell ref="J227:K227"/>
    <mergeCell ref="L227:M228"/>
    <mergeCell ref="A220:I220"/>
    <mergeCell ref="J220:K222"/>
    <mergeCell ref="A221:I222"/>
    <mergeCell ref="A223:A226"/>
    <mergeCell ref="B223:I224"/>
    <mergeCell ref="J223:K223"/>
    <mergeCell ref="J224:K224"/>
    <mergeCell ref="B225:K226"/>
    <mergeCell ref="A218:B218"/>
    <mergeCell ref="C218:D218"/>
    <mergeCell ref="E218:K218"/>
    <mergeCell ref="A219:B219"/>
    <mergeCell ref="C219:D219"/>
    <mergeCell ref="E219:K219"/>
    <mergeCell ref="A216:B216"/>
    <mergeCell ref="C216:D216"/>
    <mergeCell ref="E216:K216"/>
    <mergeCell ref="A217:B217"/>
    <mergeCell ref="C217:D217"/>
    <mergeCell ref="E217:K217"/>
    <mergeCell ref="A214:B214"/>
    <mergeCell ref="C214:D214"/>
    <mergeCell ref="E214:K214"/>
    <mergeCell ref="A215:B215"/>
    <mergeCell ref="C215:D215"/>
    <mergeCell ref="E215:K215"/>
    <mergeCell ref="A212:B212"/>
    <mergeCell ref="C212:D212"/>
    <mergeCell ref="E212:K212"/>
    <mergeCell ref="A213:B213"/>
    <mergeCell ref="C213:D213"/>
    <mergeCell ref="E213:K213"/>
    <mergeCell ref="A210:B210"/>
    <mergeCell ref="C210:D210"/>
    <mergeCell ref="E210:K210"/>
    <mergeCell ref="A211:B211"/>
    <mergeCell ref="C211:D211"/>
    <mergeCell ref="E211:K211"/>
    <mergeCell ref="A207:K207"/>
    <mergeCell ref="A208:B208"/>
    <mergeCell ref="C208:D208"/>
    <mergeCell ref="E208:K208"/>
    <mergeCell ref="A209:B209"/>
    <mergeCell ref="C209:D209"/>
    <mergeCell ref="E209:K209"/>
    <mergeCell ref="A200:I200"/>
    <mergeCell ref="J200:K202"/>
    <mergeCell ref="A201:I202"/>
    <mergeCell ref="A203:A206"/>
    <mergeCell ref="B203:K204"/>
    <mergeCell ref="B205:K205"/>
    <mergeCell ref="B206:K206"/>
    <mergeCell ref="A198:B198"/>
    <mergeCell ref="C198:D198"/>
    <mergeCell ref="E198:G198"/>
    <mergeCell ref="H198:K198"/>
    <mergeCell ref="A199:B199"/>
    <mergeCell ref="C199:D199"/>
    <mergeCell ref="E199:G199"/>
    <mergeCell ref="H199:K199"/>
    <mergeCell ref="A196:B196"/>
    <mergeCell ref="C196:D196"/>
    <mergeCell ref="E196:G196"/>
    <mergeCell ref="H196:K196"/>
    <mergeCell ref="A197:B197"/>
    <mergeCell ref="C197:D197"/>
    <mergeCell ref="E197:G197"/>
    <mergeCell ref="H197:K197"/>
    <mergeCell ref="A194:B194"/>
    <mergeCell ref="C194:D194"/>
    <mergeCell ref="E194:G194"/>
    <mergeCell ref="H194:K194"/>
    <mergeCell ref="A195:B195"/>
    <mergeCell ref="C195:D195"/>
    <mergeCell ref="E195:G195"/>
    <mergeCell ref="H195:K195"/>
    <mergeCell ref="A192:B192"/>
    <mergeCell ref="C192:D192"/>
    <mergeCell ref="E192:G192"/>
    <mergeCell ref="H192:K192"/>
    <mergeCell ref="A193:B193"/>
    <mergeCell ref="C193:D193"/>
    <mergeCell ref="E193:G193"/>
    <mergeCell ref="H193:K193"/>
    <mergeCell ref="A190:B190"/>
    <mergeCell ref="C190:D190"/>
    <mergeCell ref="E190:G190"/>
    <mergeCell ref="H190:K190"/>
    <mergeCell ref="A191:B191"/>
    <mergeCell ref="C191:D191"/>
    <mergeCell ref="E191:G191"/>
    <mergeCell ref="H191:K191"/>
    <mergeCell ref="A188:B188"/>
    <mergeCell ref="C188:D188"/>
    <mergeCell ref="E188:G188"/>
    <mergeCell ref="H188:K188"/>
    <mergeCell ref="A189:B189"/>
    <mergeCell ref="C189:D189"/>
    <mergeCell ref="E189:G189"/>
    <mergeCell ref="H189:K189"/>
    <mergeCell ref="A186:B186"/>
    <mergeCell ref="C186:D186"/>
    <mergeCell ref="E186:G186"/>
    <mergeCell ref="H186:K186"/>
    <mergeCell ref="A187:B187"/>
    <mergeCell ref="C187:D187"/>
    <mergeCell ref="E187:G187"/>
    <mergeCell ref="H187:K187"/>
    <mergeCell ref="A184:B184"/>
    <mergeCell ref="C184:D184"/>
    <mergeCell ref="E184:G184"/>
    <mergeCell ref="H184:K184"/>
    <mergeCell ref="A185:B185"/>
    <mergeCell ref="C185:D185"/>
    <mergeCell ref="E185:G185"/>
    <mergeCell ref="H185:K185"/>
    <mergeCell ref="A182:B182"/>
    <mergeCell ref="C182:D182"/>
    <mergeCell ref="E182:G182"/>
    <mergeCell ref="H182:K182"/>
    <mergeCell ref="A183:B183"/>
    <mergeCell ref="C183:D183"/>
    <mergeCell ref="E183:G183"/>
    <mergeCell ref="H183:K183"/>
    <mergeCell ref="A180:B180"/>
    <mergeCell ref="C180:D180"/>
    <mergeCell ref="E180:G180"/>
    <mergeCell ref="H180:K180"/>
    <mergeCell ref="A181:B181"/>
    <mergeCell ref="C181:D181"/>
    <mergeCell ref="E181:G181"/>
    <mergeCell ref="H181:K181"/>
    <mergeCell ref="A177:K177"/>
    <mergeCell ref="A178:B178"/>
    <mergeCell ref="C178:D178"/>
    <mergeCell ref="E178:G178"/>
    <mergeCell ref="H178:K178"/>
    <mergeCell ref="A179:B179"/>
    <mergeCell ref="C179:D179"/>
    <mergeCell ref="E179:G179"/>
    <mergeCell ref="H179:K179"/>
    <mergeCell ref="A168:A176"/>
    <mergeCell ref="B168:I169"/>
    <mergeCell ref="J168:K168"/>
    <mergeCell ref="J169:K169"/>
    <mergeCell ref="B170:K171"/>
    <mergeCell ref="B172:K172"/>
    <mergeCell ref="B173:K173"/>
    <mergeCell ref="B174:K174"/>
    <mergeCell ref="B175:K175"/>
    <mergeCell ref="B176:K176"/>
    <mergeCell ref="A164:B164"/>
    <mergeCell ref="C164:D164"/>
    <mergeCell ref="E164:G164"/>
    <mergeCell ref="H164:K164"/>
    <mergeCell ref="A165:I165"/>
    <mergeCell ref="J165:K167"/>
    <mergeCell ref="A166:I167"/>
    <mergeCell ref="A162:B162"/>
    <mergeCell ref="C162:D162"/>
    <mergeCell ref="E162:G162"/>
    <mergeCell ref="H162:K162"/>
    <mergeCell ref="A163:B163"/>
    <mergeCell ref="C163:D163"/>
    <mergeCell ref="E163:G163"/>
    <mergeCell ref="H163:K163"/>
    <mergeCell ref="A160:B160"/>
    <mergeCell ref="C160:D160"/>
    <mergeCell ref="E160:G160"/>
    <mergeCell ref="H160:K160"/>
    <mergeCell ref="A161:B161"/>
    <mergeCell ref="C161:D161"/>
    <mergeCell ref="E161:G161"/>
    <mergeCell ref="H161:K161"/>
    <mergeCell ref="A158:B158"/>
    <mergeCell ref="C158:D158"/>
    <mergeCell ref="E158:G158"/>
    <mergeCell ref="H158:K158"/>
    <mergeCell ref="A159:B159"/>
    <mergeCell ref="C159:D159"/>
    <mergeCell ref="E159:G159"/>
    <mergeCell ref="H159:K159"/>
    <mergeCell ref="A156:B156"/>
    <mergeCell ref="C156:D156"/>
    <mergeCell ref="E156:G156"/>
    <mergeCell ref="H156:K156"/>
    <mergeCell ref="A157:B157"/>
    <mergeCell ref="C157:D157"/>
    <mergeCell ref="E157:G157"/>
    <mergeCell ref="H157:K157"/>
    <mergeCell ref="A154:B154"/>
    <mergeCell ref="C154:D154"/>
    <mergeCell ref="E154:G154"/>
    <mergeCell ref="H154:K154"/>
    <mergeCell ref="A155:B155"/>
    <mergeCell ref="C155:D155"/>
    <mergeCell ref="E155:G155"/>
    <mergeCell ref="H155:K155"/>
    <mergeCell ref="A149:K149"/>
    <mergeCell ref="A150:K150"/>
    <mergeCell ref="A151:K151"/>
    <mergeCell ref="A152:K152"/>
    <mergeCell ref="A153:B153"/>
    <mergeCell ref="C153:D153"/>
    <mergeCell ref="E153:G153"/>
    <mergeCell ref="H153:K153"/>
    <mergeCell ref="A145:A148"/>
    <mergeCell ref="B145:I146"/>
    <mergeCell ref="J145:K145"/>
    <mergeCell ref="J146:K146"/>
    <mergeCell ref="B147:K147"/>
    <mergeCell ref="B148:K148"/>
    <mergeCell ref="A141:C141"/>
    <mergeCell ref="D141:E141"/>
    <mergeCell ref="F141:H141"/>
    <mergeCell ref="I141:K141"/>
    <mergeCell ref="A142:I142"/>
    <mergeCell ref="J142:K144"/>
    <mergeCell ref="A143:I144"/>
    <mergeCell ref="A138:K138"/>
    <mergeCell ref="A139:K139"/>
    <mergeCell ref="A140:C140"/>
    <mergeCell ref="D140:E140"/>
    <mergeCell ref="F140:H140"/>
    <mergeCell ref="I140:K140"/>
    <mergeCell ref="A133:A136"/>
    <mergeCell ref="B133:I134"/>
    <mergeCell ref="J133:K133"/>
    <mergeCell ref="J134:K134"/>
    <mergeCell ref="B135:K136"/>
    <mergeCell ref="A137:K137"/>
    <mergeCell ref="A129:C129"/>
    <mergeCell ref="D129:E129"/>
    <mergeCell ref="F129:H129"/>
    <mergeCell ref="I129:K129"/>
    <mergeCell ref="A130:I130"/>
    <mergeCell ref="J130:K132"/>
    <mergeCell ref="A131:I132"/>
    <mergeCell ref="A126:K126"/>
    <mergeCell ref="A127:K127"/>
    <mergeCell ref="A128:C128"/>
    <mergeCell ref="D128:E128"/>
    <mergeCell ref="F128:H128"/>
    <mergeCell ref="I128:K128"/>
    <mergeCell ref="A120:K120"/>
    <mergeCell ref="A121:A125"/>
    <mergeCell ref="B121:I122"/>
    <mergeCell ref="J121:K121"/>
    <mergeCell ref="J122:K122"/>
    <mergeCell ref="B123:K125"/>
    <mergeCell ref="A113:F113"/>
    <mergeCell ref="G113:H113"/>
    <mergeCell ref="J113:K113"/>
    <mergeCell ref="A114:I114"/>
    <mergeCell ref="J114:K119"/>
    <mergeCell ref="A115:I119"/>
    <mergeCell ref="C111:D111"/>
    <mergeCell ref="G111:H111"/>
    <mergeCell ref="J111:K111"/>
    <mergeCell ref="C112:D112"/>
    <mergeCell ref="G112:H112"/>
    <mergeCell ref="J112:K112"/>
    <mergeCell ref="C109:D109"/>
    <mergeCell ref="G109:H109"/>
    <mergeCell ref="J109:K109"/>
    <mergeCell ref="C110:D110"/>
    <mergeCell ref="G110:H110"/>
    <mergeCell ref="J110:K110"/>
    <mergeCell ref="C107:D107"/>
    <mergeCell ref="G107:H107"/>
    <mergeCell ref="J107:K107"/>
    <mergeCell ref="C108:D108"/>
    <mergeCell ref="G108:H108"/>
    <mergeCell ref="J108:K108"/>
    <mergeCell ref="C105:D105"/>
    <mergeCell ref="G105:H105"/>
    <mergeCell ref="J105:K105"/>
    <mergeCell ref="C106:D106"/>
    <mergeCell ref="G106:H106"/>
    <mergeCell ref="J106:K106"/>
    <mergeCell ref="C103:D103"/>
    <mergeCell ref="G103:H103"/>
    <mergeCell ref="J103:K103"/>
    <mergeCell ref="C104:D104"/>
    <mergeCell ref="G104:H104"/>
    <mergeCell ref="J104:K104"/>
    <mergeCell ref="A101:D101"/>
    <mergeCell ref="E101:H101"/>
    <mergeCell ref="I101:K101"/>
    <mergeCell ref="C102:D102"/>
    <mergeCell ref="G102:H102"/>
    <mergeCell ref="J102:K102"/>
    <mergeCell ref="A98:G98"/>
    <mergeCell ref="K98:L98"/>
    <mergeCell ref="A99:H99"/>
    <mergeCell ref="J99:L99"/>
    <mergeCell ref="A100:H100"/>
    <mergeCell ref="J100:L100"/>
    <mergeCell ref="A95:H95"/>
    <mergeCell ref="K95:L95"/>
    <mergeCell ref="A96:H96"/>
    <mergeCell ref="K96:L96"/>
    <mergeCell ref="A97:G97"/>
    <mergeCell ref="K97:L97"/>
    <mergeCell ref="A92:G92"/>
    <mergeCell ref="K92:L92"/>
    <mergeCell ref="A93:F93"/>
    <mergeCell ref="G93:H93"/>
    <mergeCell ref="K93:L93"/>
    <mergeCell ref="A94:H94"/>
    <mergeCell ref="K94:L94"/>
    <mergeCell ref="A90:F90"/>
    <mergeCell ref="G90:H90"/>
    <mergeCell ref="K90:L90"/>
    <mergeCell ref="A91:L91"/>
    <mergeCell ref="A86:E86"/>
    <mergeCell ref="F86:H86"/>
    <mergeCell ref="K86:L86"/>
    <mergeCell ref="A87:H87"/>
    <mergeCell ref="K87:L87"/>
    <mergeCell ref="A88:H88"/>
    <mergeCell ref="K88:L88"/>
    <mergeCell ref="A80:L80"/>
    <mergeCell ref="A81:A85"/>
    <mergeCell ref="B81:L81"/>
    <mergeCell ref="B82:L82"/>
    <mergeCell ref="B83:L83"/>
    <mergeCell ref="B84:L84"/>
    <mergeCell ref="B85:L85"/>
    <mergeCell ref="A89:G89"/>
    <mergeCell ref="K89:L89"/>
    <mergeCell ref="A70:A74"/>
    <mergeCell ref="B70:J71"/>
    <mergeCell ref="K70:L70"/>
    <mergeCell ref="K71:L71"/>
    <mergeCell ref="B72:L74"/>
    <mergeCell ref="A75:A79"/>
    <mergeCell ref="B75:J76"/>
    <mergeCell ref="K75:L75"/>
    <mergeCell ref="K76:L76"/>
    <mergeCell ref="B77:L77"/>
    <mergeCell ref="B78:L78"/>
    <mergeCell ref="B79:L79"/>
    <mergeCell ref="A67:J67"/>
    <mergeCell ref="K67:L68"/>
    <mergeCell ref="A68:J68"/>
    <mergeCell ref="A69:L69"/>
    <mergeCell ref="A63:D63"/>
    <mergeCell ref="F63:G63"/>
    <mergeCell ref="A64:D64"/>
    <mergeCell ref="F64:G64"/>
    <mergeCell ref="A65:D65"/>
    <mergeCell ref="F65:G65"/>
    <mergeCell ref="A56:L56"/>
    <mergeCell ref="A57:L57"/>
    <mergeCell ref="A58:L58"/>
    <mergeCell ref="A59:L59"/>
    <mergeCell ref="A60:L60"/>
    <mergeCell ref="A61:D61"/>
    <mergeCell ref="F61:G61"/>
    <mergeCell ref="H61:L66"/>
    <mergeCell ref="A62:D62"/>
    <mergeCell ref="F62:G62"/>
    <mergeCell ref="A66:D66"/>
    <mergeCell ref="E66:G66"/>
    <mergeCell ref="A49:A54"/>
    <mergeCell ref="B49:J50"/>
    <mergeCell ref="K49:L49"/>
    <mergeCell ref="K50:L50"/>
    <mergeCell ref="B51:L54"/>
    <mergeCell ref="A55:L55"/>
    <mergeCell ref="B44:L44"/>
    <mergeCell ref="A45:J45"/>
    <mergeCell ref="K45:L47"/>
    <mergeCell ref="A46:J46"/>
    <mergeCell ref="A47:J47"/>
    <mergeCell ref="A48:L48"/>
    <mergeCell ref="A39:I39"/>
    <mergeCell ref="J39:K39"/>
    <mergeCell ref="A40:L40"/>
    <mergeCell ref="A41:A44"/>
    <mergeCell ref="B41:J41"/>
    <mergeCell ref="K41:L41"/>
    <mergeCell ref="B42:J42"/>
    <mergeCell ref="K42:L42"/>
    <mergeCell ref="B43:L43"/>
    <mergeCell ref="A33:K33"/>
    <mergeCell ref="A34:A38"/>
    <mergeCell ref="B34:K34"/>
    <mergeCell ref="B35:I35"/>
    <mergeCell ref="J35:K35"/>
    <mergeCell ref="B36:I36"/>
    <mergeCell ref="J36:K36"/>
    <mergeCell ref="B37:I37"/>
    <mergeCell ref="J37:K37"/>
    <mergeCell ref="B38:I38"/>
    <mergeCell ref="J38:K38"/>
    <mergeCell ref="A26:I26"/>
    <mergeCell ref="J26:K28"/>
    <mergeCell ref="A27:I27"/>
    <mergeCell ref="A28:I28"/>
    <mergeCell ref="A29:I29"/>
    <mergeCell ref="J29:K32"/>
    <mergeCell ref="A30:I30"/>
    <mergeCell ref="A31:I31"/>
    <mergeCell ref="A32:I32"/>
    <mergeCell ref="A19:K19"/>
    <mergeCell ref="A20:K20"/>
    <mergeCell ref="A21:K21"/>
    <mergeCell ref="D22:E22"/>
    <mergeCell ref="I22:K22"/>
    <mergeCell ref="A23:I23"/>
    <mergeCell ref="J23:K25"/>
    <mergeCell ref="A24:I24"/>
    <mergeCell ref="A25:I25"/>
    <mergeCell ref="A14:J14"/>
    <mergeCell ref="K14:L14"/>
    <mergeCell ref="A15:K15"/>
    <mergeCell ref="A16:A17"/>
    <mergeCell ref="B16:K17"/>
    <mergeCell ref="A18:K18"/>
    <mergeCell ref="C11:J11"/>
    <mergeCell ref="A12:B13"/>
    <mergeCell ref="C12:H12"/>
    <mergeCell ref="I12:J12"/>
    <mergeCell ref="K12:L13"/>
    <mergeCell ref="C13:J13"/>
    <mergeCell ref="A6:A9"/>
    <mergeCell ref="B6:J7"/>
    <mergeCell ref="K6:L6"/>
    <mergeCell ref="K7:L7"/>
    <mergeCell ref="B8:L9"/>
    <mergeCell ref="A10:B10"/>
    <mergeCell ref="C10:H10"/>
    <mergeCell ref="I10:J10"/>
    <mergeCell ref="K10:L11"/>
    <mergeCell ref="A11:B11"/>
    <mergeCell ref="A3:B4"/>
    <mergeCell ref="D3:G3"/>
    <mergeCell ref="H3:K3"/>
    <mergeCell ref="D4:G4"/>
    <mergeCell ref="H4:K4"/>
    <mergeCell ref="A5:L5"/>
    <mergeCell ref="B1:C1"/>
    <mergeCell ref="D1:E1"/>
    <mergeCell ref="F1:I1"/>
    <mergeCell ref="J1:M1"/>
    <mergeCell ref="B2:C2"/>
    <mergeCell ref="D2:E2"/>
  </mergeCells>
  <conditionalFormatting sqref="H229:I229 L229:M229">
    <cfRule type="cellIs" dxfId="9" priority="2" operator="lessThan">
      <formula>0</formula>
    </cfRule>
    <cfRule type="cellIs" dxfId="8" priority="3" operator="lessThan">
      <formula>0</formula>
    </cfRule>
  </conditionalFormatting>
  <conditionalFormatting sqref="K98:L98">
    <cfRule type="cellIs" dxfId="7" priority="1" operator="lessThan">
      <formula>0</formula>
    </cfRule>
  </conditionalFormatting>
  <dataValidations count="19">
    <dataValidation operator="greaterThanOrEqual" allowBlank="1" showInputMessage="1" showErrorMessage="1" sqref="D128:E128 I128:K128 D140:E140 I140:K140" xr:uid="{00000000-0002-0000-0800-000000000000}"/>
    <dataValidation type="date" allowBlank="1" showInputMessage="1" showErrorMessage="1" errorTitle="Date Error" error="Date must be within Dates of Review Period." sqref="D22" xr:uid="{00000000-0002-0000-0800-000001000000}">
      <formula1>G2</formula1>
      <formula2>I2</formula2>
    </dataValidation>
    <dataValidation type="date" allowBlank="1" showInputMessage="1" showErrorMessage="1" errorTitle="Date Error" error="Date must be within Dates of Review Period." sqref="I22" xr:uid="{00000000-0002-0000-0800-000002000000}">
      <formula1>G2</formula1>
      <formula2>I2</formula2>
    </dataValidation>
    <dataValidation type="date" allowBlank="1" showInputMessage="1" showErrorMessage="1" errorTitle="Date Error" error="Date must be within Dates of Review Period." sqref="J22:K22" xr:uid="{00000000-0002-0000-0800-000003000000}">
      <formula1>H2</formula1>
      <formula2>K2</formula2>
    </dataValidation>
    <dataValidation type="date" allowBlank="1" showInputMessage="1" showErrorMessage="1" errorTitle="Date Error" error="Date must be within Dates of Review Period." sqref="E22" xr:uid="{00000000-0002-0000-0800-000004000000}">
      <formula1>#REF!</formula1>
      <formula2>K2</formula2>
    </dataValidation>
    <dataValidation type="date" operator="greaterThanOrEqual" allowBlank="1" showInputMessage="1" showErrorMessage="1" sqref="M260:N269" xr:uid="{00000000-0002-0000-0800-000005000000}">
      <formula1>K260</formula1>
    </dataValidation>
    <dataValidation type="list" allowBlank="1" showInputMessage="1" showErrorMessage="1" promptTitle="X.6.a Entry Guidance" prompt="X.6.a cannot be &quot;NA&quot; if Column D above (Total Refund Due) is greater than $0.00." sqref="J230:K230" xr:uid="{00000000-0002-0000-0800-000006000000}">
      <formula1>"Y,N,NA"</formula1>
    </dataValidation>
    <dataValidation type="textLength" operator="lessThanOrEqual" allowBlank="1" showInputMessage="1" showErrorMessage="1" sqref="O279:R279" xr:uid="{00000000-0002-0000-0800-000007000000}">
      <formula1>255</formula1>
    </dataValidation>
    <dataValidation type="textLength" operator="lessThanOrEqual" allowBlank="1" showInputMessage="1" showErrorMessage="1" sqref="A20:K20" xr:uid="{00000000-0002-0000-0800-000008000000}">
      <formula1>1024</formula1>
    </dataValidation>
    <dataValidation type="list" allowBlank="1" showInputMessage="1" showErrorMessage="1" sqref="D2:E2" xr:uid="{00000000-0002-0000-0800-000009000000}">
      <formula1>"CCAD-AFC,CBA-AFC"</formula1>
    </dataValidation>
    <dataValidation type="textLength" operator="greaterThan" allowBlank="1" showInputMessage="1" showErrorMessage="1" sqref="D3:D4" xr:uid="{00000000-0002-0000-0800-00000A000000}">
      <formula1>1</formula1>
    </dataValidation>
    <dataValidation type="whole" allowBlank="1" showInputMessage="1" showErrorMessage="1" sqref="A2" xr:uid="{00000000-0002-0000-0800-00000B000000}">
      <formula1>1</formula1>
      <formula2>99</formula2>
    </dataValidation>
    <dataValidation type="whole" operator="greaterThan" allowBlank="1" showInputMessage="1" showErrorMessage="1" sqref="A103:A112 E103:E112" xr:uid="{00000000-0002-0000-0800-00000C000000}">
      <formula1>0</formula1>
    </dataValidation>
    <dataValidation type="whole" allowBlank="1" showInputMessage="1" showErrorMessage="1" sqref="C260:C269" xr:uid="{00000000-0002-0000-0800-00000D000000}">
      <formula1>1</formula1>
      <formula2>999</formula2>
    </dataValidation>
    <dataValidation type="decimal" operator="greaterThanOrEqual" allowBlank="1" showInputMessage="1" showErrorMessage="1" sqref="D141:E141 C155:D164 D129:E129 I129:K129 G103:H112 C103:D112 K90:L90 K94:L96 J103:K112 I141:K141 D260:G269 C180:D199 J229:K229 C210:D219 F62:G62 F64:G64 C279:F279 I279:L279" xr:uid="{00000000-0002-0000-0800-00000E000000}">
      <formula1>0</formula1>
    </dataValidation>
    <dataValidation type="list" allowBlank="1" showInputMessage="1" showErrorMessage="1" sqref="J122:K122 J169:K169 J134:K134 J146:K146 J224:K224 K42:L42 K7:L7 J35:K38 K76:L76 K50:L50 K71:L71 E66:G66 J99:L100" xr:uid="{00000000-0002-0000-0800-00000F000000}">
      <formula1>"Y,N"</formula1>
    </dataValidation>
    <dataValidation type="list" allowBlank="1" showInputMessage="1" showErrorMessage="1" sqref="B229" xr:uid="{00000000-0002-0000-0800-000010000000}">
      <formula1>"DEATH,DISCHARGE"</formula1>
    </dataValidation>
    <dataValidation type="list" allowBlank="1" showInputMessage="1" showErrorMessage="1" sqref="J248:K252 J239 G22 J281:K281 B22 K45:L47 K10:L13 J26:K32" xr:uid="{00000000-0002-0000-0800-000011000000}">
      <formula1>"Y,N,NA"</formula1>
    </dataValidation>
    <dataValidation type="date" operator="greaterThanOrEqual" allowBlank="1" showInputMessage="1" showErrorMessage="1" sqref="H4:K4 F86:H86 G90:H90 G93:H93 B103:B112 F103:F112 I103:I112 K2 M2 I10:J10 K260:L269 M279:N279 A180:B199 A155:B164 A229 R229:S229 A260:B269 A279:B279 G279:H279 A210:B219 I12:J12" xr:uid="{00000000-0002-0000-0800-000012000000}">
      <formula1>1</formula1>
    </dataValidation>
  </dataValidations>
  <pageMargins left="0.5" right="0.5" top="1" bottom="0.75" header="0.25" footer="0.25"/>
  <pageSetup scale="64" fitToHeight="19" orientation="landscape" r:id="rId3"/>
  <headerFooter>
    <oddHeader>&amp;L&amp;"Arial,Regular"&amp;8Texas Department
of Aging and
Disability Services&amp;C&amp;"Arial,Bold"&amp;12ADULT FOSTER CARE
INDIVIDUAL WORK PAPER&amp;R&amp;"Arial,Regular"&amp;8Form TBD
Page &amp;P</oddHeader>
  </headerFooter>
  <rowBreaks count="6" manualBreakCount="6">
    <brk id="32" max="16383" man="1"/>
    <brk id="113" max="16383" man="1"/>
    <brk id="167" max="16383" man="1"/>
    <brk id="236" max="16383" man="1"/>
    <brk id="252" max="16383" man="1"/>
    <brk id="27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1" r:id="rId6" name="Check Box 1">
              <controlPr defaultSize="0" autoFill="0" autoLine="0" autoPict="0">
                <anchor moveWithCells="1">
                  <from>
                    <xdr:col>2</xdr:col>
                    <xdr:colOff>215900</xdr:colOff>
                    <xdr:row>18</xdr:row>
                    <xdr:rowOff>0</xdr:rowOff>
                  </from>
                  <to>
                    <xdr:col>3</xdr:col>
                    <xdr:colOff>565150</xdr:colOff>
                    <xdr:row>18</xdr:row>
                    <xdr:rowOff>222250</xdr:rowOff>
                  </to>
                </anchor>
              </controlPr>
            </control>
          </mc:Choice>
        </mc:AlternateContent>
        <mc:AlternateContent xmlns:mc="http://schemas.openxmlformats.org/markup-compatibility/2006">
          <mc:Choice Requires="x14">
            <control shapeId="81922" r:id="rId7" name="Check Box 2">
              <controlPr defaultSize="0" autoFill="0" autoLine="0" autoPict="0">
                <anchor moveWithCells="1">
                  <from>
                    <xdr:col>0</xdr:col>
                    <xdr:colOff>25400</xdr:colOff>
                    <xdr:row>18</xdr:row>
                    <xdr:rowOff>0</xdr:rowOff>
                  </from>
                  <to>
                    <xdr:col>2</xdr:col>
                    <xdr:colOff>139700</xdr:colOff>
                    <xdr:row>18</xdr:row>
                    <xdr:rowOff>222250</xdr:rowOff>
                  </to>
                </anchor>
              </controlPr>
            </control>
          </mc:Choice>
        </mc:AlternateContent>
        <mc:AlternateContent xmlns:mc="http://schemas.openxmlformats.org/markup-compatibility/2006">
          <mc:Choice Requires="x14">
            <control shapeId="81923" r:id="rId8" name="Check Box 3">
              <controlPr defaultSize="0" autoFill="0" autoLine="0" autoPict="0">
                <anchor moveWithCells="1">
                  <from>
                    <xdr:col>3</xdr:col>
                    <xdr:colOff>260350</xdr:colOff>
                    <xdr:row>18</xdr:row>
                    <xdr:rowOff>12700</xdr:rowOff>
                  </from>
                  <to>
                    <xdr:col>5</xdr:col>
                    <xdr:colOff>139700</xdr:colOff>
                    <xdr:row>18</xdr:row>
                    <xdr:rowOff>215900</xdr:rowOff>
                  </to>
                </anchor>
              </controlPr>
            </control>
          </mc:Choice>
        </mc:AlternateContent>
        <mc:AlternateContent xmlns:mc="http://schemas.openxmlformats.org/markup-compatibility/2006">
          <mc:Choice Requires="x14">
            <control shapeId="81924" r:id="rId9" name="Check Box 4">
              <controlPr defaultSize="0" autoFill="0" autoLine="0" autoPict="0">
                <anchor moveWithCells="1">
                  <from>
                    <xdr:col>5</xdr:col>
                    <xdr:colOff>107950</xdr:colOff>
                    <xdr:row>18</xdr:row>
                    <xdr:rowOff>12700</xdr:rowOff>
                  </from>
                  <to>
                    <xdr:col>6</xdr:col>
                    <xdr:colOff>527050</xdr:colOff>
                    <xdr:row>18</xdr:row>
                    <xdr:rowOff>215900</xdr:rowOff>
                  </to>
                </anchor>
              </controlPr>
            </control>
          </mc:Choice>
        </mc:AlternateContent>
        <mc:AlternateContent xmlns:mc="http://schemas.openxmlformats.org/markup-compatibility/2006">
          <mc:Choice Requires="x14">
            <control shapeId="81925" r:id="rId10" name="Check Box 5">
              <controlPr defaultSize="0" autoFill="0" autoLine="0" autoPict="0">
                <anchor moveWithCells="1">
                  <from>
                    <xdr:col>6</xdr:col>
                    <xdr:colOff>508000</xdr:colOff>
                    <xdr:row>18</xdr:row>
                    <xdr:rowOff>0</xdr:rowOff>
                  </from>
                  <to>
                    <xdr:col>7</xdr:col>
                    <xdr:colOff>317500</xdr:colOff>
                    <xdr:row>18</xdr:row>
                    <xdr:rowOff>222250</xdr:rowOff>
                  </to>
                </anchor>
              </controlPr>
            </control>
          </mc:Choice>
        </mc:AlternateContent>
        <mc:AlternateContent xmlns:mc="http://schemas.openxmlformats.org/markup-compatibility/2006">
          <mc:Choice Requires="x14">
            <control shapeId="81926" r:id="rId11" name="Check Box 6">
              <controlPr defaultSize="0" autoFill="0" autoLine="0" autoPict="0">
                <anchor moveWithCells="1">
                  <from>
                    <xdr:col>7</xdr:col>
                    <xdr:colOff>482600</xdr:colOff>
                    <xdr:row>18</xdr:row>
                    <xdr:rowOff>12700</xdr:rowOff>
                  </from>
                  <to>
                    <xdr:col>8</xdr:col>
                    <xdr:colOff>584200</xdr:colOff>
                    <xdr:row>18</xdr:row>
                    <xdr:rowOff>222250</xdr:rowOff>
                  </to>
                </anchor>
              </controlPr>
            </control>
          </mc:Choice>
        </mc:AlternateContent>
        <mc:AlternateContent xmlns:mc="http://schemas.openxmlformats.org/markup-compatibility/2006">
          <mc:Choice Requires="x14">
            <control shapeId="81927" r:id="rId12" name="Check Box 7">
              <controlPr defaultSize="0" autoFill="0" autoLine="0" autoPict="0">
                <anchor moveWithCells="1">
                  <from>
                    <xdr:col>2</xdr:col>
                    <xdr:colOff>431800</xdr:colOff>
                    <xdr:row>18</xdr:row>
                    <xdr:rowOff>254000</xdr:rowOff>
                  </from>
                  <to>
                    <xdr:col>4</xdr:col>
                    <xdr:colOff>304800</xdr:colOff>
                    <xdr:row>18</xdr:row>
                    <xdr:rowOff>469900</xdr:rowOff>
                  </to>
                </anchor>
              </controlPr>
            </control>
          </mc:Choice>
        </mc:AlternateContent>
        <mc:AlternateContent xmlns:mc="http://schemas.openxmlformats.org/markup-compatibility/2006">
          <mc:Choice Requires="x14">
            <control shapeId="81928" r:id="rId13" name="Check Box 8">
              <controlPr defaultSize="0" autoFill="0" autoLine="0" autoPict="0">
                <anchor moveWithCells="1">
                  <from>
                    <xdr:col>4</xdr:col>
                    <xdr:colOff>368300</xdr:colOff>
                    <xdr:row>18</xdr:row>
                    <xdr:rowOff>254000</xdr:rowOff>
                  </from>
                  <to>
                    <xdr:col>5</xdr:col>
                    <xdr:colOff>374650</xdr:colOff>
                    <xdr:row>18</xdr:row>
                    <xdr:rowOff>469900</xdr:rowOff>
                  </to>
                </anchor>
              </controlPr>
            </control>
          </mc:Choice>
        </mc:AlternateContent>
        <mc:AlternateContent xmlns:mc="http://schemas.openxmlformats.org/markup-compatibility/2006">
          <mc:Choice Requires="x14">
            <control shapeId="81929" r:id="rId14" name="Check Box 9">
              <controlPr defaultSize="0" autoFill="0" autoLine="0" autoPict="0">
                <anchor moveWithCells="1">
                  <from>
                    <xdr:col>5</xdr:col>
                    <xdr:colOff>374650</xdr:colOff>
                    <xdr:row>18</xdr:row>
                    <xdr:rowOff>279400</xdr:rowOff>
                  </from>
                  <to>
                    <xdr:col>8</xdr:col>
                    <xdr:colOff>635000</xdr:colOff>
                    <xdr:row>18</xdr:row>
                    <xdr:rowOff>469900</xdr:rowOff>
                  </to>
                </anchor>
              </controlPr>
            </control>
          </mc:Choice>
        </mc:AlternateContent>
        <mc:AlternateContent xmlns:mc="http://schemas.openxmlformats.org/markup-compatibility/2006">
          <mc:Choice Requires="x14">
            <control shapeId="81930" r:id="rId15" name="Check Box 10">
              <controlPr defaultSize="0" autoFill="0" autoLine="0" autoPict="0">
                <anchor moveWithCells="1">
                  <from>
                    <xdr:col>9</xdr:col>
                    <xdr:colOff>266700</xdr:colOff>
                    <xdr:row>18</xdr:row>
                    <xdr:rowOff>260350</xdr:rowOff>
                  </from>
                  <to>
                    <xdr:col>10</xdr:col>
                    <xdr:colOff>495300</xdr:colOff>
                    <xdr:row>18</xdr:row>
                    <xdr:rowOff>482600</xdr:rowOff>
                  </to>
                </anchor>
              </controlPr>
            </control>
          </mc:Choice>
        </mc:AlternateContent>
        <mc:AlternateContent xmlns:mc="http://schemas.openxmlformats.org/markup-compatibility/2006">
          <mc:Choice Requires="x14">
            <control shapeId="81931" r:id="rId16" name="Check Box 11">
              <controlPr defaultSize="0" autoFill="0" autoLine="0" autoPict="0">
                <anchor moveWithCells="1">
                  <from>
                    <xdr:col>0</xdr:col>
                    <xdr:colOff>38100</xdr:colOff>
                    <xdr:row>18</xdr:row>
                    <xdr:rowOff>482600</xdr:rowOff>
                  </from>
                  <to>
                    <xdr:col>2</xdr:col>
                    <xdr:colOff>393700</xdr:colOff>
                    <xdr:row>18</xdr:row>
                    <xdr:rowOff>698500</xdr:rowOff>
                  </to>
                </anchor>
              </controlPr>
            </control>
          </mc:Choice>
        </mc:AlternateContent>
        <mc:AlternateContent xmlns:mc="http://schemas.openxmlformats.org/markup-compatibility/2006">
          <mc:Choice Requires="x14">
            <control shapeId="81932" r:id="rId17" name="Check Box 12">
              <controlPr defaultSize="0" autoFill="0" autoLine="0" autoPict="0">
                <anchor moveWithCells="1">
                  <from>
                    <xdr:col>8</xdr:col>
                    <xdr:colOff>488950</xdr:colOff>
                    <xdr:row>18</xdr:row>
                    <xdr:rowOff>12700</xdr:rowOff>
                  </from>
                  <to>
                    <xdr:col>10</xdr:col>
                    <xdr:colOff>260350</xdr:colOff>
                    <xdr:row>18</xdr:row>
                    <xdr:rowOff>228600</xdr:rowOff>
                  </to>
                </anchor>
              </controlPr>
            </control>
          </mc:Choice>
        </mc:AlternateContent>
        <mc:AlternateContent xmlns:mc="http://schemas.openxmlformats.org/markup-compatibility/2006">
          <mc:Choice Requires="x14">
            <control shapeId="81933" r:id="rId18" name="Check Box 13">
              <controlPr defaultSize="0" autoFill="0" autoLine="0" autoPict="0">
                <anchor moveWithCells="1">
                  <from>
                    <xdr:col>0</xdr:col>
                    <xdr:colOff>31750</xdr:colOff>
                    <xdr:row>18</xdr:row>
                    <xdr:rowOff>254000</xdr:rowOff>
                  </from>
                  <to>
                    <xdr:col>2</xdr:col>
                    <xdr:colOff>381000</xdr:colOff>
                    <xdr:row>18</xdr:row>
                    <xdr:rowOff>469900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D73717C8F3A54C992E2A79E8EFF594" ma:contentTypeVersion="0" ma:contentTypeDescription="Create a new document." ma:contentTypeScope="" ma:versionID="d393b8446b3a619ae56dd64d0194bf91">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A4E0FE-1FB7-496E-8EBD-DC6F943F5184}">
  <ds:schemaRefs>
    <ds:schemaRef ds:uri="http://schemas.microsoft.com/sharepoint/v3/contenttype/forms"/>
  </ds:schemaRefs>
</ds:datastoreItem>
</file>

<file path=customXml/itemProps2.xml><?xml version="1.0" encoding="utf-8"?>
<ds:datastoreItem xmlns:ds="http://schemas.openxmlformats.org/officeDocument/2006/customXml" ds:itemID="{DE8FED18-A6E3-48AA-B5AD-9283A1DBD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D2201F3-0E3B-4DA4-85B2-4598AC0A956E}">
  <ds:schemaRef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1060</vt:i4>
      </vt:variant>
    </vt:vector>
  </HeadingPairs>
  <TitlesOfParts>
    <vt:vector size="1080" baseType="lpstr">
      <vt:lpstr>Data</vt:lpstr>
      <vt:lpstr>Monitoring Workbook</vt:lpstr>
      <vt:lpstr>IWP01</vt:lpstr>
      <vt:lpstr>IWP02</vt:lpstr>
      <vt:lpstr>IWP03</vt:lpstr>
      <vt:lpstr>IWP04</vt:lpstr>
      <vt:lpstr>IWP05</vt:lpstr>
      <vt:lpstr>IWP06</vt:lpstr>
      <vt:lpstr>IWP07</vt:lpstr>
      <vt:lpstr>IWP08</vt:lpstr>
      <vt:lpstr>AFC Compliance Summary (Print)</vt:lpstr>
      <vt:lpstr>OHR Compliance Summary (Print)</vt:lpstr>
      <vt:lpstr>AFC Indiv. Fund Summary (Print)</vt:lpstr>
      <vt:lpstr>Instructions_AFC Reimbursement</vt:lpstr>
      <vt:lpstr>AFC Reimbursement</vt:lpstr>
      <vt:lpstr>Instructions_OHR Reimbursement</vt:lpstr>
      <vt:lpstr>OHR Reimbursement</vt:lpstr>
      <vt:lpstr>Demand for Pmt. Notice (Print)</vt:lpstr>
      <vt:lpstr>Samples (Print)</vt:lpstr>
      <vt:lpstr>Notes (Print)</vt:lpstr>
      <vt:lpstr>'AFC Indiv. Fund Summary (Print)'!AfcAuthToMngMoney</vt:lpstr>
      <vt:lpstr>'AFC Indiv. Fund Summary (Print)'!BnkChgsFcltyChcIndvTrstFndAcct</vt:lpstr>
      <vt:lpstr>'AFC Indiv. Fund Summary (Print)'!BnkChgsPldTrstFndAcct</vt:lpstr>
      <vt:lpstr>CBAOHRcontractNumber</vt:lpstr>
      <vt:lpstr>CCADAFCcontractNumber</vt:lpstr>
      <vt:lpstr>Checks_And_Deposits</vt:lpstr>
      <vt:lpstr>'IWP01'!ClientFirstName</vt:lpstr>
      <vt:lpstr>'IWP02'!ClientFirstName</vt:lpstr>
      <vt:lpstr>'IWP03'!ClientFirstName</vt:lpstr>
      <vt:lpstr>'IWP04'!ClientFirstName</vt:lpstr>
      <vt:lpstr>'IWP05'!ClientFirstName</vt:lpstr>
      <vt:lpstr>'IWP06'!ClientFirstName</vt:lpstr>
      <vt:lpstr>'IWP07'!ClientFirstName</vt:lpstr>
      <vt:lpstr>'IWP08'!ClientFirstName</vt:lpstr>
      <vt:lpstr>'IWP01'!ClientID</vt:lpstr>
      <vt:lpstr>'IWP02'!ClientID</vt:lpstr>
      <vt:lpstr>'IWP03'!ClientID</vt:lpstr>
      <vt:lpstr>'IWP04'!ClientID</vt:lpstr>
      <vt:lpstr>'IWP05'!ClientID</vt:lpstr>
      <vt:lpstr>'IWP06'!ClientID</vt:lpstr>
      <vt:lpstr>'IWP07'!ClientID</vt:lpstr>
      <vt:lpstr>'IWP08'!ClientID</vt:lpstr>
      <vt:lpstr>'IWP01'!ClientLastName</vt:lpstr>
      <vt:lpstr>'IWP02'!ClientLastName</vt:lpstr>
      <vt:lpstr>'IWP03'!ClientLastName</vt:lpstr>
      <vt:lpstr>'IWP04'!ClientLastName</vt:lpstr>
      <vt:lpstr>'IWP05'!ClientLastName</vt:lpstr>
      <vt:lpstr>'IWP06'!ClientLastName</vt:lpstr>
      <vt:lpstr>'IWP07'!ClientLastName</vt:lpstr>
      <vt:lpstr>'IWP08'!ClientLastName</vt:lpstr>
      <vt:lpstr>'IWP01'!CompletedByFirstName</vt:lpstr>
      <vt:lpstr>'IWP02'!CompletedByFirstName</vt:lpstr>
      <vt:lpstr>'IWP03'!CompletedByFirstName</vt:lpstr>
      <vt:lpstr>'IWP04'!CompletedByFirstName</vt:lpstr>
      <vt:lpstr>'IWP05'!CompletedByFirstName</vt:lpstr>
      <vt:lpstr>'IWP06'!CompletedByFirstName</vt:lpstr>
      <vt:lpstr>'IWP07'!CompletedByFirstName</vt:lpstr>
      <vt:lpstr>'IWP08'!CompletedByFirstName</vt:lpstr>
      <vt:lpstr>CompletedByFirstName</vt:lpstr>
      <vt:lpstr>'IWP01'!CompletedByLastName</vt:lpstr>
      <vt:lpstr>'IWP02'!CompletedByLastName</vt:lpstr>
      <vt:lpstr>'IWP03'!CompletedByLastName</vt:lpstr>
      <vt:lpstr>'IWP04'!CompletedByLastName</vt:lpstr>
      <vt:lpstr>'IWP05'!CompletedByLastName</vt:lpstr>
      <vt:lpstr>'IWP06'!CompletedByLastName</vt:lpstr>
      <vt:lpstr>'IWP07'!CompletedByLastName</vt:lpstr>
      <vt:lpstr>'IWP08'!CompletedByLastName</vt:lpstr>
      <vt:lpstr>CompletedByLastName</vt:lpstr>
      <vt:lpstr>'IWP01'!ContractNumber</vt:lpstr>
      <vt:lpstr>'IWP02'!ContractNumber</vt:lpstr>
      <vt:lpstr>'IWP03'!ContractNumber</vt:lpstr>
      <vt:lpstr>'IWP04'!ContractNumber</vt:lpstr>
      <vt:lpstr>'IWP05'!ContractNumber</vt:lpstr>
      <vt:lpstr>'IWP06'!ContractNumber</vt:lpstr>
      <vt:lpstr>'IWP07'!ContractNumber</vt:lpstr>
      <vt:lpstr>'IWP08'!ContractNumber</vt:lpstr>
      <vt:lpstr>Data!ContractNumbers</vt:lpstr>
      <vt:lpstr>'IWP01'!ContractType</vt:lpstr>
      <vt:lpstr>'IWP02'!ContractType</vt:lpstr>
      <vt:lpstr>'IWP03'!ContractType</vt:lpstr>
      <vt:lpstr>'IWP04'!ContractType</vt:lpstr>
      <vt:lpstr>'IWP05'!ContractType</vt:lpstr>
      <vt:lpstr>'IWP06'!ContractType</vt:lpstr>
      <vt:lpstr>'IWP07'!ContractType</vt:lpstr>
      <vt:lpstr>'IWP08'!ContractType</vt:lpstr>
      <vt:lpstr>'AFC Indiv. Fund Summary (Print)'!CoPyRfndCrdtDueHsptlzdIndv</vt:lpstr>
      <vt:lpstr>'IWP01'!DateCompleted</vt:lpstr>
      <vt:lpstr>'IWP02'!DateCompleted</vt:lpstr>
      <vt:lpstr>'IWP03'!DateCompleted</vt:lpstr>
      <vt:lpstr>'IWP04'!DateCompleted</vt:lpstr>
      <vt:lpstr>'IWP05'!DateCompleted</vt:lpstr>
      <vt:lpstr>'IWP06'!DateCompleted</vt:lpstr>
      <vt:lpstr>'IWP07'!DateCompleted</vt:lpstr>
      <vt:lpstr>'IWP08'!DateCompleted</vt:lpstr>
      <vt:lpstr>DateOfEntrance</vt:lpstr>
      <vt:lpstr>DateOfExit</vt:lpstr>
      <vt:lpstr>DateOfMonitoringPeriodBegin</vt:lpstr>
      <vt:lpstr>DateOfMonitoringPeriodEnd</vt:lpstr>
      <vt:lpstr>'IWP01'!DateOfReviewBegin</vt:lpstr>
      <vt:lpstr>'IWP02'!DateOfReviewBegin</vt:lpstr>
      <vt:lpstr>'IWP03'!DateOfReviewBegin</vt:lpstr>
      <vt:lpstr>'IWP04'!DateOfReviewBegin</vt:lpstr>
      <vt:lpstr>'IWP05'!DateOfReviewBegin</vt:lpstr>
      <vt:lpstr>'IWP06'!DateOfReviewBegin</vt:lpstr>
      <vt:lpstr>'IWP07'!DateOfReviewBegin</vt:lpstr>
      <vt:lpstr>'IWP08'!DateOfReviewBegin</vt:lpstr>
      <vt:lpstr>'IWP01'!DateOfReviewEnd</vt:lpstr>
      <vt:lpstr>'IWP02'!DateOfReviewEnd</vt:lpstr>
      <vt:lpstr>'IWP03'!DateOfReviewEnd</vt:lpstr>
      <vt:lpstr>'IWP04'!DateOfReviewEnd</vt:lpstr>
      <vt:lpstr>'IWP05'!DateOfReviewEnd</vt:lpstr>
      <vt:lpstr>'IWP06'!DateOfReviewEnd</vt:lpstr>
      <vt:lpstr>'IWP07'!DateOfReviewEnd</vt:lpstr>
      <vt:lpstr>'IWP08'!DateOfReviewEnd</vt:lpstr>
      <vt:lpstr>DateOfRevisedExit</vt:lpstr>
      <vt:lpstr>Deposits_In_Transit</vt:lpstr>
      <vt:lpstr>'AFC Indiv. Fund Summary (Print)'!DpstsIndvTrstFndOrPtyCshAcct</vt:lpstr>
      <vt:lpstr>'AFC Indiv. Fund Summary (Print)'!DpstsPldTrstFndAcct</vt:lpstr>
      <vt:lpstr>'IWP01'!FiscalReviewFirstMonth</vt:lpstr>
      <vt:lpstr>'IWP02'!FiscalReviewFirstMonth</vt:lpstr>
      <vt:lpstr>'IWP03'!FiscalReviewFirstMonth</vt:lpstr>
      <vt:lpstr>'IWP04'!FiscalReviewFirstMonth</vt:lpstr>
      <vt:lpstr>'IWP05'!FiscalReviewFirstMonth</vt:lpstr>
      <vt:lpstr>'IWP06'!FiscalReviewFirstMonth</vt:lpstr>
      <vt:lpstr>'IWP07'!FiscalReviewFirstMonth</vt:lpstr>
      <vt:lpstr>'IWP08'!FiscalReviewFirstMonth</vt:lpstr>
      <vt:lpstr>'IWP01'!FiscalReviewSecondMonth</vt:lpstr>
      <vt:lpstr>'IWP02'!FiscalReviewSecondMonth</vt:lpstr>
      <vt:lpstr>'IWP03'!FiscalReviewSecondMonth</vt:lpstr>
      <vt:lpstr>'IWP04'!FiscalReviewSecondMonth</vt:lpstr>
      <vt:lpstr>'IWP05'!FiscalReviewSecondMonth</vt:lpstr>
      <vt:lpstr>'IWP06'!FiscalReviewSecondMonth</vt:lpstr>
      <vt:lpstr>'IWP07'!FiscalReviewSecondMonth</vt:lpstr>
      <vt:lpstr>'IWP08'!FiscalReviewSecondMonth</vt:lpstr>
      <vt:lpstr>'AFC Indiv. Fund Summary (Print)'!IndvPtyCshFndRcncltn</vt:lpstr>
      <vt:lpstr>'AFC Indiv. Fund Summary (Print)'!IndvTrstFndRcncltn</vt:lpstr>
      <vt:lpstr>'IWP01'!Iwp9dot1DepstInTransit</vt:lpstr>
      <vt:lpstr>'IWP02'!Iwp9dot1DepstInTransit</vt:lpstr>
      <vt:lpstr>'IWP03'!Iwp9dot1DepstInTransit</vt:lpstr>
      <vt:lpstr>'IWP04'!Iwp9dot1DepstInTransit</vt:lpstr>
      <vt:lpstr>'IWP05'!Iwp9dot1DepstInTransit</vt:lpstr>
      <vt:lpstr>'IWP06'!Iwp9dot1DepstInTransit</vt:lpstr>
      <vt:lpstr>'IWP07'!Iwp9dot1DepstInTransit</vt:lpstr>
      <vt:lpstr>'IWP08'!Iwp9dot1DepstInTransit</vt:lpstr>
      <vt:lpstr>'IWP01'!Iwp9dot1OutstdChks</vt:lpstr>
      <vt:lpstr>'IWP02'!Iwp9dot1OutstdChks</vt:lpstr>
      <vt:lpstr>'IWP03'!Iwp9dot1OutstdChks</vt:lpstr>
      <vt:lpstr>'IWP04'!Iwp9dot1OutstdChks</vt:lpstr>
      <vt:lpstr>'IWP05'!Iwp9dot1OutstdChks</vt:lpstr>
      <vt:lpstr>'IWP06'!Iwp9dot1OutstdChks</vt:lpstr>
      <vt:lpstr>'IWP07'!Iwp9dot1OutstdChks</vt:lpstr>
      <vt:lpstr>'IWP08'!Iwp9dot1OutstdChks</vt:lpstr>
      <vt:lpstr>NameOfLegalEntity</vt:lpstr>
      <vt:lpstr>'AFC Indiv. Fund Summary (Print)'!OvrCollRmBdCoPayBdHld</vt:lpstr>
      <vt:lpstr>'AFC Indiv. Fund Summary (Print)'!PldPtyCshFndRcncltn</vt:lpstr>
      <vt:lpstr>'AFC Indiv. Fund Summary (Print)'!PldTrstFndAcctRcncltn</vt:lpstr>
      <vt:lpstr>'Demand for Pmt. Notice (Print)'!Print_Area</vt:lpstr>
      <vt:lpstr>'Notes (Print)'!Print_Area</vt:lpstr>
      <vt:lpstr>'AFC Indiv. Fund Summary (Print)'!Print_Titles</vt:lpstr>
      <vt:lpstr>'AFC Reimbursement'!Print_Titles</vt:lpstr>
      <vt:lpstr>'Demand for Pmt. Notice (Print)'!Print_Titles</vt:lpstr>
      <vt:lpstr>'IWP01'!Print_Titles</vt:lpstr>
      <vt:lpstr>'IWP02'!Print_Titles</vt:lpstr>
      <vt:lpstr>'IWP03'!Print_Titles</vt:lpstr>
      <vt:lpstr>'IWP04'!Print_Titles</vt:lpstr>
      <vt:lpstr>'IWP05'!Print_Titles</vt:lpstr>
      <vt:lpstr>'IWP06'!Print_Titles</vt:lpstr>
      <vt:lpstr>'IWP07'!Print_Titles</vt:lpstr>
      <vt:lpstr>'IWP08'!Print_Titles</vt:lpstr>
      <vt:lpstr>'Monitoring Workbook'!Print_Titles</vt:lpstr>
      <vt:lpstr>'AFC Indiv. Fund Summary (Print)'!PrrtdIntPldTrstFndAcct</vt:lpstr>
      <vt:lpstr>ReviewLevel</vt:lpstr>
      <vt:lpstr>ReviewType</vt:lpstr>
      <vt:lpstr>'IWP01'!SampleNumber</vt:lpstr>
      <vt:lpstr>'IWP02'!SampleNumber</vt:lpstr>
      <vt:lpstr>'IWP03'!SampleNumber</vt:lpstr>
      <vt:lpstr>'IWP04'!SampleNumber</vt:lpstr>
      <vt:lpstr>'IWP05'!SampleNumber</vt:lpstr>
      <vt:lpstr>'IWP06'!SampleNumber</vt:lpstr>
      <vt:lpstr>'IWP07'!SampleNumber</vt:lpstr>
      <vt:lpstr>'IWP08'!SampleNumber</vt:lpstr>
      <vt:lpstr>Data!SpreadsheetInfo</vt:lpstr>
      <vt:lpstr>Standard_I_1</vt:lpstr>
      <vt:lpstr>Standard_I_1_Comments</vt:lpstr>
      <vt:lpstr>Standard_I_2a</vt:lpstr>
      <vt:lpstr>Standard_I_2a_Comments</vt:lpstr>
      <vt:lpstr>Standard_I_2b</vt:lpstr>
      <vt:lpstr>Standard_I_2b_Comments</vt:lpstr>
      <vt:lpstr>Standard_I_3</vt:lpstr>
      <vt:lpstr>Standard_I_3_Comments</vt:lpstr>
      <vt:lpstr>Standard_I_4</vt:lpstr>
      <vt:lpstr>Standard_I_4_Comments</vt:lpstr>
      <vt:lpstr>Standard_I_Comments</vt:lpstr>
      <vt:lpstr>Standard_I_Total_No</vt:lpstr>
      <vt:lpstr>Standard_I_Total_Yes</vt:lpstr>
      <vt:lpstr>'Monitoring Workbook'!Standard_II_1_Answers</vt:lpstr>
      <vt:lpstr>Standard_II_1_Comments</vt:lpstr>
      <vt:lpstr>Standard_II_1_Number_No</vt:lpstr>
      <vt:lpstr>Standard_II_1_Number_Yes</vt:lpstr>
      <vt:lpstr>'Monitoring Workbook'!Standard_II_2_Answers</vt:lpstr>
      <vt:lpstr>Standard_II_2_Comments</vt:lpstr>
      <vt:lpstr>Standard_II_2_Number_No</vt:lpstr>
      <vt:lpstr>Standard_II_2_Number_Yes</vt:lpstr>
      <vt:lpstr>Standard_II_Total_No</vt:lpstr>
      <vt:lpstr>Standard_II_Total_Yes</vt:lpstr>
      <vt:lpstr>Standard_III_1_Comments</vt:lpstr>
      <vt:lpstr>Standard_III_2_Comments</vt:lpstr>
      <vt:lpstr>Standard_III_2_Number_No</vt:lpstr>
      <vt:lpstr>Standard_III_2_Number_Yes</vt:lpstr>
      <vt:lpstr>Standard_III_3_Comments</vt:lpstr>
      <vt:lpstr>Standard_III_3_Number_No</vt:lpstr>
      <vt:lpstr>Standard_III_3_Number_Yes</vt:lpstr>
      <vt:lpstr>Standard_III_4_Comments</vt:lpstr>
      <vt:lpstr>Standard_III_4_Number_No</vt:lpstr>
      <vt:lpstr>Standard_III_4_Number_Yes</vt:lpstr>
      <vt:lpstr>Standard_III_I_Number_No</vt:lpstr>
      <vt:lpstr>Standard_III_I_Number_Yes</vt:lpstr>
      <vt:lpstr>Standard_III_Total_No</vt:lpstr>
      <vt:lpstr>Standard_III_Total_Yes</vt:lpstr>
      <vt:lpstr>Standard_IV_1_Comments</vt:lpstr>
      <vt:lpstr>Standard_IV_Total_No</vt:lpstr>
      <vt:lpstr>Standard_IV_Total_Yes</vt:lpstr>
      <vt:lpstr>Standard_IX_1_Comments</vt:lpstr>
      <vt:lpstr>Standard_IX_Total_No</vt:lpstr>
      <vt:lpstr>Standard_IX_Total_Yes</vt:lpstr>
      <vt:lpstr>Standard_V_I_Comments</vt:lpstr>
      <vt:lpstr>Standard_V_Total_No</vt:lpstr>
      <vt:lpstr>Standard_V_Total_Yes</vt:lpstr>
      <vt:lpstr>Standard_VI</vt:lpstr>
      <vt:lpstr>Standard_VI_1_Comments</vt:lpstr>
      <vt:lpstr>Standard_VI_1_NotCalc</vt:lpstr>
      <vt:lpstr>Standard_VI_1f</vt:lpstr>
      <vt:lpstr>Standard_VII_1_Comments</vt:lpstr>
      <vt:lpstr>Standard_VII_Total_No</vt:lpstr>
      <vt:lpstr>Standard_VII_Total_Yes</vt:lpstr>
      <vt:lpstr>Standard_VIII</vt:lpstr>
      <vt:lpstr>Standard_VIII_1_Comments</vt:lpstr>
      <vt:lpstr>Standard_VIII_1a_NotCalc</vt:lpstr>
      <vt:lpstr>Standard_VIII_1b_NotCalc</vt:lpstr>
      <vt:lpstr>Standard_VIII_1m</vt:lpstr>
      <vt:lpstr>Standard_VIII_1n</vt:lpstr>
      <vt:lpstr>Standard_X_1_Comments</vt:lpstr>
      <vt:lpstr>Standard_X_1_Number_No</vt:lpstr>
      <vt:lpstr>Standard_X_1_Number_Yes</vt:lpstr>
      <vt:lpstr>Standard_X_2_Comments</vt:lpstr>
      <vt:lpstr>Standard_X_2_Number_No</vt:lpstr>
      <vt:lpstr>Standard_X_2_Number_Yes</vt:lpstr>
      <vt:lpstr>Standard_X_3_Comments</vt:lpstr>
      <vt:lpstr>Standard_X_3_Number_No</vt:lpstr>
      <vt:lpstr>Standard_X_3_Number_Yes</vt:lpstr>
      <vt:lpstr>Standard_X_4_Comments</vt:lpstr>
      <vt:lpstr>Standard_X_4_Number_No</vt:lpstr>
      <vt:lpstr>Standard_X_4_Number_Yes</vt:lpstr>
      <vt:lpstr>Standard_X_5_Comments</vt:lpstr>
      <vt:lpstr>Standard_X_5_Number_No</vt:lpstr>
      <vt:lpstr>Standard_X_5_Number_Yes</vt:lpstr>
      <vt:lpstr>Standard_X_6_Comments</vt:lpstr>
      <vt:lpstr>Standard_X_6_Number_No</vt:lpstr>
      <vt:lpstr>Standard_X_6_Number_Yes</vt:lpstr>
      <vt:lpstr>Standard_X_Total_No</vt:lpstr>
      <vt:lpstr>Standard_X_Total_Yes</vt:lpstr>
      <vt:lpstr>Standard_XI_1_Comments</vt:lpstr>
      <vt:lpstr>Standard_XI_1_Number_No</vt:lpstr>
      <vt:lpstr>Standard_XI_1_Number_Yes</vt:lpstr>
      <vt:lpstr>Standard_XI_2_Comments</vt:lpstr>
      <vt:lpstr>Standard_XI_2_Number_No</vt:lpstr>
      <vt:lpstr>Standard_XI_2_Number_Yes</vt:lpstr>
      <vt:lpstr>Standard_XI_3_Comments</vt:lpstr>
      <vt:lpstr>Standard_XI_3_Number_No</vt:lpstr>
      <vt:lpstr>Standard_XI_3_Number_Yes</vt:lpstr>
      <vt:lpstr>Standard_XI_4_Comments</vt:lpstr>
      <vt:lpstr>Standard_XI_4_Number_No</vt:lpstr>
      <vt:lpstr>Standard_XI_4_Number_Yes</vt:lpstr>
      <vt:lpstr>Standard_XI_Total_No</vt:lpstr>
      <vt:lpstr>Standard_XI_Total_Yes</vt:lpstr>
      <vt:lpstr>Std_VI_1_AdjustedBal</vt:lpstr>
      <vt:lpstr>Std_VI_1_Adjustments</vt:lpstr>
      <vt:lpstr>Std_VI_1_BalPettyCashLog</vt:lpstr>
      <vt:lpstr>Std_VI_1_CashOnHandDate</vt:lpstr>
      <vt:lpstr>Std_VI_1_CoinsTotal</vt:lpstr>
      <vt:lpstr>Std_VI_1_CurrencyTotal</vt:lpstr>
      <vt:lpstr>Std_VI_1_Dimes</vt:lpstr>
      <vt:lpstr>Std_VI_1_Dollars</vt:lpstr>
      <vt:lpstr>Std_VI_1_Fifties</vt:lpstr>
      <vt:lpstr>Std_VI_1_Fives</vt:lpstr>
      <vt:lpstr>Std_VI_1_HalfDollars</vt:lpstr>
      <vt:lpstr>Std_VI_1_Nickels</vt:lpstr>
      <vt:lpstr>Std_VI_1_Ones</vt:lpstr>
      <vt:lpstr>Std_VI_1_OtherCurrency</vt:lpstr>
      <vt:lpstr>Std_VI_1_Pennies</vt:lpstr>
      <vt:lpstr>Std_VI_1_PettyCashOnHand</vt:lpstr>
      <vt:lpstr>Std_VI_1_PettyCashOverShort</vt:lpstr>
      <vt:lpstr>Std_VI_1_Quarters</vt:lpstr>
      <vt:lpstr>Std_VI_1_Tens</vt:lpstr>
      <vt:lpstr>Std_VI_1_Twenties</vt:lpstr>
      <vt:lpstr>Std_VIII_AcctOverShort</vt:lpstr>
      <vt:lpstr>Std_VIII_AdjBalPerBank</vt:lpstr>
      <vt:lpstr>Std_VIII_AdjBalPerBooks</vt:lpstr>
      <vt:lpstr>Std_VIII_BalPerBooks</vt:lpstr>
      <vt:lpstr>Std_VIII_BalPerBooksDate</vt:lpstr>
      <vt:lpstr>Std_VIII_BankStmtBalance</vt:lpstr>
      <vt:lpstr>Std_VIII_BankStmtDate</vt:lpstr>
      <vt:lpstr>Std_VIII_NSFchecks</vt:lpstr>
      <vt:lpstr>Std_VIII_RecptsForDsbmnts</vt:lpstr>
      <vt:lpstr>Std_VIII_TotalDepositsInTransit</vt:lpstr>
      <vt:lpstr>Std_VIII_TotalOutstandingChecks</vt:lpstr>
      <vt:lpstr>Std_VIII_TotPtyCashOnHand</vt:lpstr>
      <vt:lpstr>Std_VIII_TotPtyCashOnHandDate</vt:lpstr>
      <vt:lpstr>Std_VIII_TrustFundTrialBalance</vt:lpstr>
      <vt:lpstr>Std_VIII_UnApplEarnedInt</vt:lpstr>
      <vt:lpstr>'IWP01'!Std10dot1</vt:lpstr>
      <vt:lpstr>'IWP02'!Std10dot1</vt:lpstr>
      <vt:lpstr>'IWP03'!Std10dot1</vt:lpstr>
      <vt:lpstr>'IWP04'!Std10dot1</vt:lpstr>
      <vt:lpstr>'IWP05'!Std10dot1</vt:lpstr>
      <vt:lpstr>'IWP06'!Std10dot1</vt:lpstr>
      <vt:lpstr>'IWP07'!Std10dot1</vt:lpstr>
      <vt:lpstr>'IWP08'!Std10dot1</vt:lpstr>
      <vt:lpstr>'IWP01'!Std10dot1Date1</vt:lpstr>
      <vt:lpstr>'IWP02'!Std10dot1Date1</vt:lpstr>
      <vt:lpstr>'IWP03'!Std10dot1Date1</vt:lpstr>
      <vt:lpstr>'IWP04'!Std10dot1Date1</vt:lpstr>
      <vt:lpstr>'IWP05'!Std10dot1Date1</vt:lpstr>
      <vt:lpstr>'IWP06'!Std10dot1Date1</vt:lpstr>
      <vt:lpstr>'IWP07'!Std10dot1Date1</vt:lpstr>
      <vt:lpstr>'IWP08'!Std10dot1Date1</vt:lpstr>
      <vt:lpstr>'IWP01'!Std10dot1Date2</vt:lpstr>
      <vt:lpstr>'IWP02'!Std10dot1Date2</vt:lpstr>
      <vt:lpstr>'IWP03'!Std10dot1Date2</vt:lpstr>
      <vt:lpstr>'IWP04'!Std10dot1Date2</vt:lpstr>
      <vt:lpstr>'IWP05'!Std10dot1Date2</vt:lpstr>
      <vt:lpstr>'IWP06'!Std10dot1Date2</vt:lpstr>
      <vt:lpstr>'IWP07'!Std10dot1Date2</vt:lpstr>
      <vt:lpstr>'IWP08'!Std10dot1Date2</vt:lpstr>
      <vt:lpstr>'IWP01'!Std10dot1NotCalc</vt:lpstr>
      <vt:lpstr>'IWP02'!Std10dot1NotCalc</vt:lpstr>
      <vt:lpstr>'IWP03'!Std10dot1NotCalc</vt:lpstr>
      <vt:lpstr>'IWP04'!Std10dot1NotCalc</vt:lpstr>
      <vt:lpstr>'IWP05'!Std10dot1NotCalc</vt:lpstr>
      <vt:lpstr>'IWP06'!Std10dot1NotCalc</vt:lpstr>
      <vt:lpstr>'IWP07'!Std10dot1NotCalc</vt:lpstr>
      <vt:lpstr>'IWP08'!Std10dot1NotCalc</vt:lpstr>
      <vt:lpstr>'IWP01'!Std10dot1TotalAmt1</vt:lpstr>
      <vt:lpstr>'IWP02'!Std10dot1TotalAmt1</vt:lpstr>
      <vt:lpstr>'IWP03'!Std10dot1TotalAmt1</vt:lpstr>
      <vt:lpstr>'IWP04'!Std10dot1TotalAmt1</vt:lpstr>
      <vt:lpstr>'IWP05'!Std10dot1TotalAmt1</vt:lpstr>
      <vt:lpstr>'IWP06'!Std10dot1TotalAmt1</vt:lpstr>
      <vt:lpstr>'IWP07'!Std10dot1TotalAmt1</vt:lpstr>
      <vt:lpstr>'IWP08'!Std10dot1TotalAmt1</vt:lpstr>
      <vt:lpstr>'IWP01'!Std10dot1TotalAmt2</vt:lpstr>
      <vt:lpstr>'IWP02'!Std10dot1TotalAmt2</vt:lpstr>
      <vt:lpstr>'IWP03'!Std10dot1TotalAmt2</vt:lpstr>
      <vt:lpstr>'IWP04'!Std10dot1TotalAmt2</vt:lpstr>
      <vt:lpstr>'IWP05'!Std10dot1TotalAmt2</vt:lpstr>
      <vt:lpstr>'IWP06'!Std10dot1TotalAmt2</vt:lpstr>
      <vt:lpstr>'IWP07'!Std10dot1TotalAmt2</vt:lpstr>
      <vt:lpstr>'IWP08'!Std10dot1TotalAmt2</vt:lpstr>
      <vt:lpstr>'IWP01'!Std10dot2</vt:lpstr>
      <vt:lpstr>'IWP02'!Std10dot2</vt:lpstr>
      <vt:lpstr>'IWP03'!Std10dot2</vt:lpstr>
      <vt:lpstr>'IWP04'!Std10dot2</vt:lpstr>
      <vt:lpstr>'IWP05'!Std10dot2</vt:lpstr>
      <vt:lpstr>'IWP06'!Std10dot2</vt:lpstr>
      <vt:lpstr>'IWP07'!Std10dot2</vt:lpstr>
      <vt:lpstr>'IWP08'!Std10dot2</vt:lpstr>
      <vt:lpstr>'IWP01'!Std10dot2BankChgs1</vt:lpstr>
      <vt:lpstr>'IWP02'!Std10dot2BankChgs1</vt:lpstr>
      <vt:lpstr>'IWP03'!Std10dot2BankChgs1</vt:lpstr>
      <vt:lpstr>'IWP04'!Std10dot2BankChgs1</vt:lpstr>
      <vt:lpstr>'IWP05'!Std10dot2BankChgs1</vt:lpstr>
      <vt:lpstr>'IWP06'!Std10dot2BankChgs1</vt:lpstr>
      <vt:lpstr>'IWP07'!Std10dot2BankChgs1</vt:lpstr>
      <vt:lpstr>'IWP08'!Std10dot2BankChgs1</vt:lpstr>
      <vt:lpstr>'IWP01'!Std10dot2BankChgs2</vt:lpstr>
      <vt:lpstr>'IWP02'!Std10dot2BankChgs2</vt:lpstr>
      <vt:lpstr>'IWP03'!Std10dot2BankChgs2</vt:lpstr>
      <vt:lpstr>'IWP04'!Std10dot2BankChgs2</vt:lpstr>
      <vt:lpstr>'IWP05'!Std10dot2BankChgs2</vt:lpstr>
      <vt:lpstr>'IWP06'!Std10dot2BankChgs2</vt:lpstr>
      <vt:lpstr>'IWP07'!Std10dot2BankChgs2</vt:lpstr>
      <vt:lpstr>'IWP08'!Std10dot2BankChgs2</vt:lpstr>
      <vt:lpstr>'IWP01'!Std10dot2Date1</vt:lpstr>
      <vt:lpstr>'IWP02'!Std10dot2Date1</vt:lpstr>
      <vt:lpstr>'IWP03'!Std10dot2Date1</vt:lpstr>
      <vt:lpstr>'IWP04'!Std10dot2Date1</vt:lpstr>
      <vt:lpstr>'IWP05'!Std10dot2Date1</vt:lpstr>
      <vt:lpstr>'IWP06'!Std10dot2Date1</vt:lpstr>
      <vt:lpstr>'IWP07'!Std10dot2Date1</vt:lpstr>
      <vt:lpstr>'IWP08'!Std10dot2Date1</vt:lpstr>
      <vt:lpstr>'IWP01'!Std10dot2Date2</vt:lpstr>
      <vt:lpstr>'IWP02'!Std10dot2Date2</vt:lpstr>
      <vt:lpstr>'IWP03'!Std10dot2Date2</vt:lpstr>
      <vt:lpstr>'IWP04'!Std10dot2Date2</vt:lpstr>
      <vt:lpstr>'IWP05'!Std10dot2Date2</vt:lpstr>
      <vt:lpstr>'IWP06'!Std10dot2Date2</vt:lpstr>
      <vt:lpstr>'IWP07'!Std10dot2Date2</vt:lpstr>
      <vt:lpstr>'IWP08'!Std10dot2Date2</vt:lpstr>
      <vt:lpstr>'IWP01'!Std10dot2NotCalc</vt:lpstr>
      <vt:lpstr>'IWP02'!Std10dot2NotCalc</vt:lpstr>
      <vt:lpstr>'IWP03'!Std10dot2NotCalc</vt:lpstr>
      <vt:lpstr>'IWP04'!Std10dot2NotCalc</vt:lpstr>
      <vt:lpstr>'IWP05'!Std10dot2NotCalc</vt:lpstr>
      <vt:lpstr>'IWP06'!Std10dot2NotCalc</vt:lpstr>
      <vt:lpstr>'IWP07'!Std10dot2NotCalc</vt:lpstr>
      <vt:lpstr>'IWP08'!Std10dot2NotCalc</vt:lpstr>
      <vt:lpstr>'IWP01'!Std10dot3</vt:lpstr>
      <vt:lpstr>'IWP02'!Std10dot3</vt:lpstr>
      <vt:lpstr>'IWP03'!Std10dot3</vt:lpstr>
      <vt:lpstr>'IWP04'!Std10dot3</vt:lpstr>
      <vt:lpstr>'IWP05'!Std10dot3</vt:lpstr>
      <vt:lpstr>'IWP06'!Std10dot3</vt:lpstr>
      <vt:lpstr>'IWP07'!Std10dot3</vt:lpstr>
      <vt:lpstr>'IWP08'!Std10dot3</vt:lpstr>
      <vt:lpstr>'IWP01'!Std10dot3Deposits</vt:lpstr>
      <vt:lpstr>'IWP02'!Std10dot3Deposits</vt:lpstr>
      <vt:lpstr>'IWP03'!Std10dot3Deposits</vt:lpstr>
      <vt:lpstr>'IWP04'!Std10dot3Deposits</vt:lpstr>
      <vt:lpstr>'IWP05'!Std10dot3Deposits</vt:lpstr>
      <vt:lpstr>'IWP06'!Std10dot3Deposits</vt:lpstr>
      <vt:lpstr>'IWP07'!Std10dot3Deposits</vt:lpstr>
      <vt:lpstr>'IWP08'!Std10dot3Deposits</vt:lpstr>
      <vt:lpstr>'IWP01'!Std10dot3NotCalc</vt:lpstr>
      <vt:lpstr>'IWP02'!Std10dot3NotCalc</vt:lpstr>
      <vt:lpstr>'IWP03'!Std10dot3NotCalc</vt:lpstr>
      <vt:lpstr>'IWP04'!Std10dot3NotCalc</vt:lpstr>
      <vt:lpstr>'IWP05'!Std10dot3NotCalc</vt:lpstr>
      <vt:lpstr>'IWP06'!Std10dot3NotCalc</vt:lpstr>
      <vt:lpstr>'IWP07'!Std10dot3NotCalc</vt:lpstr>
      <vt:lpstr>'IWP08'!Std10dot3NotCalc</vt:lpstr>
      <vt:lpstr>'IWP01'!Std10dot4</vt:lpstr>
      <vt:lpstr>'IWP02'!Std10dot4</vt:lpstr>
      <vt:lpstr>'IWP03'!Std10dot4</vt:lpstr>
      <vt:lpstr>'IWP04'!Std10dot4</vt:lpstr>
      <vt:lpstr>'IWP05'!Std10dot4</vt:lpstr>
      <vt:lpstr>'IWP06'!Std10dot4</vt:lpstr>
      <vt:lpstr>'IWP07'!Std10dot4</vt:lpstr>
      <vt:lpstr>'IWP08'!Std10dot4</vt:lpstr>
      <vt:lpstr>'IWP01'!Std10dot4NotCalc</vt:lpstr>
      <vt:lpstr>'IWP02'!Std10dot4NotCalc</vt:lpstr>
      <vt:lpstr>'IWP03'!Std10dot4NotCalc</vt:lpstr>
      <vt:lpstr>'IWP04'!Std10dot4NotCalc</vt:lpstr>
      <vt:lpstr>'IWP05'!Std10dot4NotCalc</vt:lpstr>
      <vt:lpstr>'IWP06'!Std10dot4NotCalc</vt:lpstr>
      <vt:lpstr>'IWP07'!Std10dot4NotCalc</vt:lpstr>
      <vt:lpstr>'IWP08'!Std10dot4NotCalc</vt:lpstr>
      <vt:lpstr>'IWP01'!Std10dot4Withdrawals</vt:lpstr>
      <vt:lpstr>'IWP02'!Std10dot4Withdrawals</vt:lpstr>
      <vt:lpstr>'IWP03'!Std10dot4Withdrawals</vt:lpstr>
      <vt:lpstr>'IWP04'!Std10dot4Withdrawals</vt:lpstr>
      <vt:lpstr>'IWP05'!Std10dot4Withdrawals</vt:lpstr>
      <vt:lpstr>'IWP06'!Std10dot4Withdrawals</vt:lpstr>
      <vt:lpstr>'IWP07'!Std10dot4Withdrawals</vt:lpstr>
      <vt:lpstr>'IWP08'!Std10dot4Withdrawals</vt:lpstr>
      <vt:lpstr>'IWP01'!Std10dot5</vt:lpstr>
      <vt:lpstr>'IWP02'!Std10dot5</vt:lpstr>
      <vt:lpstr>'IWP03'!Std10dot5</vt:lpstr>
      <vt:lpstr>'IWP04'!Std10dot5</vt:lpstr>
      <vt:lpstr>'IWP05'!Std10dot5</vt:lpstr>
      <vt:lpstr>'IWP06'!Std10dot5</vt:lpstr>
      <vt:lpstr>'IWP07'!Std10dot5</vt:lpstr>
      <vt:lpstr>'IWP08'!Std10dot5</vt:lpstr>
      <vt:lpstr>'IWP01'!Std10dot5Withdrawals</vt:lpstr>
      <vt:lpstr>'IWP02'!Std10dot5Withdrawals</vt:lpstr>
      <vt:lpstr>'IWP03'!Std10dot5Withdrawals</vt:lpstr>
      <vt:lpstr>'IWP04'!Std10dot5Withdrawals</vt:lpstr>
      <vt:lpstr>'IWP05'!Std10dot5Withdrawals</vt:lpstr>
      <vt:lpstr>'IWP06'!Std10dot5Withdrawals</vt:lpstr>
      <vt:lpstr>'IWP07'!Std10dot5Withdrawals</vt:lpstr>
      <vt:lpstr>'IWP08'!Std10dot5Withdrawals</vt:lpstr>
      <vt:lpstr>'IWP01'!Std10dot6</vt:lpstr>
      <vt:lpstr>'IWP02'!Std10dot6</vt:lpstr>
      <vt:lpstr>'IWP03'!Std10dot6</vt:lpstr>
      <vt:lpstr>'IWP04'!Std10dot6</vt:lpstr>
      <vt:lpstr>'IWP05'!Std10dot6</vt:lpstr>
      <vt:lpstr>'IWP06'!Std10dot6</vt:lpstr>
      <vt:lpstr>'IWP07'!Std10dot6</vt:lpstr>
      <vt:lpstr>'IWP08'!Std10dot6</vt:lpstr>
      <vt:lpstr>'IWP01'!Std10dot6a</vt:lpstr>
      <vt:lpstr>'IWP02'!Std10dot6a</vt:lpstr>
      <vt:lpstr>'IWP03'!Std10dot6a</vt:lpstr>
      <vt:lpstr>'IWP04'!Std10dot6a</vt:lpstr>
      <vt:lpstr>'IWP05'!Std10dot6a</vt:lpstr>
      <vt:lpstr>'IWP06'!Std10dot6a</vt:lpstr>
      <vt:lpstr>'IWP07'!Std10dot6a</vt:lpstr>
      <vt:lpstr>'IWP08'!Std10dot6a</vt:lpstr>
      <vt:lpstr>'IWP01'!Std10dot6b</vt:lpstr>
      <vt:lpstr>'IWP02'!Std10dot6b</vt:lpstr>
      <vt:lpstr>'IWP03'!Std10dot6b</vt:lpstr>
      <vt:lpstr>'IWP04'!Std10dot6b</vt:lpstr>
      <vt:lpstr>'IWP05'!Std10dot6b</vt:lpstr>
      <vt:lpstr>'IWP06'!Std10dot6b</vt:lpstr>
      <vt:lpstr>'IWP07'!Std10dot6b</vt:lpstr>
      <vt:lpstr>'IWP08'!Std10dot6b</vt:lpstr>
      <vt:lpstr>'IWP01'!Std10dot6c</vt:lpstr>
      <vt:lpstr>'IWP02'!Std10dot6c</vt:lpstr>
      <vt:lpstr>'IWP03'!Std10dot6c</vt:lpstr>
      <vt:lpstr>'IWP04'!Std10dot6c</vt:lpstr>
      <vt:lpstr>'IWP05'!Std10dot6c</vt:lpstr>
      <vt:lpstr>'IWP06'!Std10dot6c</vt:lpstr>
      <vt:lpstr>'IWP07'!Std10dot6c</vt:lpstr>
      <vt:lpstr>'IWP08'!Std10dot6c</vt:lpstr>
      <vt:lpstr>'IWP01'!Std10dot6NotCalc</vt:lpstr>
      <vt:lpstr>'IWP02'!Std10dot6NotCalc</vt:lpstr>
      <vt:lpstr>'IWP03'!Std10dot6NotCalc</vt:lpstr>
      <vt:lpstr>'IWP04'!Std10dot6NotCalc</vt:lpstr>
      <vt:lpstr>'IWP05'!Std10dot6NotCalc</vt:lpstr>
      <vt:lpstr>'IWP06'!Std10dot6NotCalc</vt:lpstr>
      <vt:lpstr>'IWP07'!Std10dot6NotCalc</vt:lpstr>
      <vt:lpstr>'IWP08'!Std10dot6NotCalc</vt:lpstr>
      <vt:lpstr>'IWP01'!Std11dot1</vt:lpstr>
      <vt:lpstr>'IWP02'!Std11dot1</vt:lpstr>
      <vt:lpstr>'IWP03'!Std11dot1</vt:lpstr>
      <vt:lpstr>'IWP04'!Std11dot1</vt:lpstr>
      <vt:lpstr>'IWP05'!Std11dot1</vt:lpstr>
      <vt:lpstr>'IWP06'!Std11dot1</vt:lpstr>
      <vt:lpstr>'IWP07'!Std11dot1</vt:lpstr>
      <vt:lpstr>'IWP08'!Std11dot1</vt:lpstr>
      <vt:lpstr>'IWP01'!Std11dot2</vt:lpstr>
      <vt:lpstr>'IWP02'!Std11dot2</vt:lpstr>
      <vt:lpstr>'IWP03'!Std11dot2</vt:lpstr>
      <vt:lpstr>'IWP04'!Std11dot2</vt:lpstr>
      <vt:lpstr>'IWP05'!Std11dot2</vt:lpstr>
      <vt:lpstr>'IWP06'!Std11dot2</vt:lpstr>
      <vt:lpstr>'IWP07'!Std11dot2</vt:lpstr>
      <vt:lpstr>'IWP08'!Std11dot2</vt:lpstr>
      <vt:lpstr>'IWP01'!Std11dot3</vt:lpstr>
      <vt:lpstr>'IWP02'!Std11dot3</vt:lpstr>
      <vt:lpstr>'IWP03'!Std11dot3</vt:lpstr>
      <vt:lpstr>'IWP04'!Std11dot3</vt:lpstr>
      <vt:lpstr>'IWP05'!Std11dot3</vt:lpstr>
      <vt:lpstr>'IWP06'!Std11dot3</vt:lpstr>
      <vt:lpstr>'IWP07'!Std11dot3</vt:lpstr>
      <vt:lpstr>'IWP08'!Std11dot3</vt:lpstr>
      <vt:lpstr>'IWP01'!Std11dot3Billing</vt:lpstr>
      <vt:lpstr>'IWP02'!Std11dot3Billing</vt:lpstr>
      <vt:lpstr>'IWP03'!Std11dot3Billing</vt:lpstr>
      <vt:lpstr>'IWP04'!Std11dot3Billing</vt:lpstr>
      <vt:lpstr>'IWP05'!Std11dot3Billing</vt:lpstr>
      <vt:lpstr>'IWP06'!Std11dot3Billing</vt:lpstr>
      <vt:lpstr>'IWP07'!Std11dot3Billing</vt:lpstr>
      <vt:lpstr>'IWP08'!Std11dot3Billing</vt:lpstr>
      <vt:lpstr>'IWP01'!Std11dot4</vt:lpstr>
      <vt:lpstr>'IWP02'!Std11dot4</vt:lpstr>
      <vt:lpstr>'IWP03'!Std11dot4</vt:lpstr>
      <vt:lpstr>'IWP04'!Std11dot4</vt:lpstr>
      <vt:lpstr>'IWP05'!Std11dot4</vt:lpstr>
      <vt:lpstr>'IWP06'!Std11dot4</vt:lpstr>
      <vt:lpstr>'IWP07'!Std11dot4</vt:lpstr>
      <vt:lpstr>'IWP08'!Std11dot4</vt:lpstr>
      <vt:lpstr>'IWP01'!Std11dot4a</vt:lpstr>
      <vt:lpstr>'IWP02'!Std11dot4a</vt:lpstr>
      <vt:lpstr>'IWP03'!Std11dot4a</vt:lpstr>
      <vt:lpstr>'IWP04'!Std11dot4a</vt:lpstr>
      <vt:lpstr>'IWP05'!Std11dot4a</vt:lpstr>
      <vt:lpstr>'IWP06'!Std11dot4a</vt:lpstr>
      <vt:lpstr>'IWP07'!Std11dot4a</vt:lpstr>
      <vt:lpstr>'IWP08'!Std11dot4a</vt:lpstr>
      <vt:lpstr>'IWP01'!Std11dot4b</vt:lpstr>
      <vt:lpstr>'IWP02'!Std11dot4b</vt:lpstr>
      <vt:lpstr>'IWP03'!Std11dot4b</vt:lpstr>
      <vt:lpstr>'IWP04'!Std11dot4b</vt:lpstr>
      <vt:lpstr>'IWP05'!Std11dot4b</vt:lpstr>
      <vt:lpstr>'IWP06'!Std11dot4b</vt:lpstr>
      <vt:lpstr>'IWP07'!Std11dot4b</vt:lpstr>
      <vt:lpstr>'IWP08'!Std11dot4b</vt:lpstr>
      <vt:lpstr>'IWP01'!Std11dot4ci</vt:lpstr>
      <vt:lpstr>'IWP02'!Std11dot4ci</vt:lpstr>
      <vt:lpstr>'IWP03'!Std11dot4ci</vt:lpstr>
      <vt:lpstr>'IWP04'!Std11dot4ci</vt:lpstr>
      <vt:lpstr>'IWP05'!Std11dot4ci</vt:lpstr>
      <vt:lpstr>'IWP06'!Std11dot4ci</vt:lpstr>
      <vt:lpstr>'IWP07'!Std11dot4ci</vt:lpstr>
      <vt:lpstr>'IWP08'!Std11dot4ci</vt:lpstr>
      <vt:lpstr>'IWP01'!Std11dot4cii</vt:lpstr>
      <vt:lpstr>'IWP02'!Std11dot4cii</vt:lpstr>
      <vt:lpstr>'IWP03'!Std11dot4cii</vt:lpstr>
      <vt:lpstr>'IWP04'!Std11dot4cii</vt:lpstr>
      <vt:lpstr>'IWP05'!Std11dot4cii</vt:lpstr>
      <vt:lpstr>'IWP06'!Std11dot4cii</vt:lpstr>
      <vt:lpstr>'IWP07'!Std11dot4cii</vt:lpstr>
      <vt:lpstr>'IWP08'!Std11dot4cii</vt:lpstr>
      <vt:lpstr>'IWP01'!Std11dot4CoPayAmtDue</vt:lpstr>
      <vt:lpstr>'IWP02'!Std11dot4CoPayAmtDue</vt:lpstr>
      <vt:lpstr>'IWP03'!Std11dot4CoPayAmtDue</vt:lpstr>
      <vt:lpstr>'IWP04'!Std11dot4CoPayAmtDue</vt:lpstr>
      <vt:lpstr>'IWP05'!Std11dot4CoPayAmtDue</vt:lpstr>
      <vt:lpstr>'IWP06'!Std11dot4CoPayAmtDue</vt:lpstr>
      <vt:lpstr>'IWP07'!Std11dot4CoPayAmtDue</vt:lpstr>
      <vt:lpstr>'IWP08'!Std11dot4CoPayAmtDue</vt:lpstr>
      <vt:lpstr>'IWP01'!Std11dot4CoPayAmtRfnd</vt:lpstr>
      <vt:lpstr>'IWP02'!Std11dot4CoPayAmtRfnd</vt:lpstr>
      <vt:lpstr>'IWP03'!Std11dot4CoPayAmtRfnd</vt:lpstr>
      <vt:lpstr>'IWP04'!Std11dot4CoPayAmtRfnd</vt:lpstr>
      <vt:lpstr>'IWP05'!Std11dot4CoPayAmtRfnd</vt:lpstr>
      <vt:lpstr>'IWP06'!Std11dot4CoPayAmtRfnd</vt:lpstr>
      <vt:lpstr>'IWP07'!Std11dot4CoPayAmtRfnd</vt:lpstr>
      <vt:lpstr>'IWP08'!Std11dot4CoPayAmtRfnd</vt:lpstr>
      <vt:lpstr>'IWP01'!Std11dot4CoPayRfndDt</vt:lpstr>
      <vt:lpstr>'IWP02'!Std11dot4CoPayRfndDt</vt:lpstr>
      <vt:lpstr>'IWP03'!Std11dot4CoPayRfndDt</vt:lpstr>
      <vt:lpstr>'IWP04'!Std11dot4CoPayRfndDt</vt:lpstr>
      <vt:lpstr>'IWP05'!Std11dot4CoPayRfndDt</vt:lpstr>
      <vt:lpstr>'IWP06'!Std11dot4CoPayRfndDt</vt:lpstr>
      <vt:lpstr>'IWP07'!Std11dot4CoPayRfndDt</vt:lpstr>
      <vt:lpstr>'IWP08'!Std11dot4CoPayRfndDt</vt:lpstr>
      <vt:lpstr>'IWP01'!Std11dot4DtDeathDschg</vt:lpstr>
      <vt:lpstr>'IWP02'!Std11dot4DtDeathDschg</vt:lpstr>
      <vt:lpstr>'IWP03'!Std11dot4DtDeathDschg</vt:lpstr>
      <vt:lpstr>'IWP04'!Std11dot4DtDeathDschg</vt:lpstr>
      <vt:lpstr>'IWP05'!Std11dot4DtDeathDschg</vt:lpstr>
      <vt:lpstr>'IWP06'!Std11dot4DtDeathDschg</vt:lpstr>
      <vt:lpstr>'IWP07'!Std11dot4DtDeathDschg</vt:lpstr>
      <vt:lpstr>'IWP08'!Std11dot4DtDeathDschg</vt:lpstr>
      <vt:lpstr>'IWP01'!Std11dot4FrstName</vt:lpstr>
      <vt:lpstr>'IWP02'!Std11dot4FrstName</vt:lpstr>
      <vt:lpstr>'IWP03'!Std11dot4FrstName</vt:lpstr>
      <vt:lpstr>'IWP04'!Std11dot4FrstName</vt:lpstr>
      <vt:lpstr>'IWP05'!Std11dot4FrstName</vt:lpstr>
      <vt:lpstr>'IWP06'!Std11dot4FrstName</vt:lpstr>
      <vt:lpstr>'IWP07'!Std11dot4FrstName</vt:lpstr>
      <vt:lpstr>'IWP08'!Std11dot4FrstName</vt:lpstr>
      <vt:lpstr>'IWP01'!Std11dot4LstName</vt:lpstr>
      <vt:lpstr>'IWP02'!Std11dot4LstName</vt:lpstr>
      <vt:lpstr>'IWP03'!Std11dot4LstName</vt:lpstr>
      <vt:lpstr>'IWP04'!Std11dot4LstName</vt:lpstr>
      <vt:lpstr>'IWP05'!Std11dot4LstName</vt:lpstr>
      <vt:lpstr>'IWP06'!Std11dot4LstName</vt:lpstr>
      <vt:lpstr>'IWP07'!Std11dot4LstName</vt:lpstr>
      <vt:lpstr>'IWP08'!Std11dot4LstName</vt:lpstr>
      <vt:lpstr>'IWP01'!Std11dot4RmBdAmtDue</vt:lpstr>
      <vt:lpstr>'IWP02'!Std11dot4RmBdAmtDue</vt:lpstr>
      <vt:lpstr>'IWP03'!Std11dot4RmBdAmtDue</vt:lpstr>
      <vt:lpstr>'IWP04'!Std11dot4RmBdAmtDue</vt:lpstr>
      <vt:lpstr>'IWP05'!Std11dot4RmBdAmtDue</vt:lpstr>
      <vt:lpstr>'IWP06'!Std11dot4RmBdAmtDue</vt:lpstr>
      <vt:lpstr>'IWP07'!Std11dot4RmBdAmtDue</vt:lpstr>
      <vt:lpstr>'IWP08'!Std11dot4RmBdAmtDue</vt:lpstr>
      <vt:lpstr>'IWP01'!Std11dot4RmBdAmtRfnd</vt:lpstr>
      <vt:lpstr>'IWP02'!Std11dot4RmBdAmtRfnd</vt:lpstr>
      <vt:lpstr>'IWP03'!Std11dot4RmBdAmtRfnd</vt:lpstr>
      <vt:lpstr>'IWP04'!Std11dot4RmBdAmtRfnd</vt:lpstr>
      <vt:lpstr>'IWP05'!Std11dot4RmBdAmtRfnd</vt:lpstr>
      <vt:lpstr>'IWP06'!Std11dot4RmBdAmtRfnd</vt:lpstr>
      <vt:lpstr>'IWP07'!Std11dot4RmBdAmtRfnd</vt:lpstr>
      <vt:lpstr>'IWP08'!Std11dot4RmBdAmtRfnd</vt:lpstr>
      <vt:lpstr>'IWP01'!Std11dot4RmBdRfndDt</vt:lpstr>
      <vt:lpstr>'IWP02'!Std11dot4RmBdRfndDt</vt:lpstr>
      <vt:lpstr>'IWP03'!Std11dot4RmBdRfndDt</vt:lpstr>
      <vt:lpstr>'IWP04'!Std11dot4RmBdRfndDt</vt:lpstr>
      <vt:lpstr>'IWP05'!Std11dot4RmBdRfndDt</vt:lpstr>
      <vt:lpstr>'IWP06'!Std11dot4RmBdRfndDt</vt:lpstr>
      <vt:lpstr>'IWP07'!Std11dot4RmBdRfndDt</vt:lpstr>
      <vt:lpstr>'IWP08'!Std11dot4RmBdRfndDt</vt:lpstr>
      <vt:lpstr>'IWP01'!Std3dot1</vt:lpstr>
      <vt:lpstr>'IWP02'!Std3dot1</vt:lpstr>
      <vt:lpstr>'IWP03'!Std3dot1</vt:lpstr>
      <vt:lpstr>'IWP04'!Std3dot1</vt:lpstr>
      <vt:lpstr>'IWP05'!Std3dot1</vt:lpstr>
      <vt:lpstr>'IWP06'!Std3dot1</vt:lpstr>
      <vt:lpstr>'IWP07'!Std3dot1</vt:lpstr>
      <vt:lpstr>'IWP08'!Std3dot1</vt:lpstr>
      <vt:lpstr>'IWP01'!Std3dot1a</vt:lpstr>
      <vt:lpstr>'IWP02'!Std3dot1a</vt:lpstr>
      <vt:lpstr>'IWP03'!Std3dot1a</vt:lpstr>
      <vt:lpstr>'IWP04'!Std3dot1a</vt:lpstr>
      <vt:lpstr>'IWP05'!Std3dot1a</vt:lpstr>
      <vt:lpstr>'IWP06'!Std3dot1a</vt:lpstr>
      <vt:lpstr>'IWP07'!Std3dot1a</vt:lpstr>
      <vt:lpstr>'IWP08'!Std3dot1a</vt:lpstr>
      <vt:lpstr>'IWP01'!Std3dot1aDate</vt:lpstr>
      <vt:lpstr>'IWP02'!Std3dot1aDate</vt:lpstr>
      <vt:lpstr>'IWP03'!Std3dot1aDate</vt:lpstr>
      <vt:lpstr>'IWP04'!Std3dot1aDate</vt:lpstr>
      <vt:lpstr>'IWP05'!Std3dot1aDate</vt:lpstr>
      <vt:lpstr>'IWP06'!Std3dot1aDate</vt:lpstr>
      <vt:lpstr>'IWP07'!Std3dot1aDate</vt:lpstr>
      <vt:lpstr>'IWP08'!Std3dot1aDate</vt:lpstr>
      <vt:lpstr>'IWP01'!Std3dot1b</vt:lpstr>
      <vt:lpstr>'IWP02'!Std3dot1b</vt:lpstr>
      <vt:lpstr>'IWP03'!Std3dot1b</vt:lpstr>
      <vt:lpstr>'IWP04'!Std3dot1b</vt:lpstr>
      <vt:lpstr>'IWP05'!Std3dot1b</vt:lpstr>
      <vt:lpstr>'IWP06'!Std3dot1b</vt:lpstr>
      <vt:lpstr>'IWP07'!Std3dot1b</vt:lpstr>
      <vt:lpstr>'IWP08'!Std3dot1b</vt:lpstr>
      <vt:lpstr>'IWP01'!Std3dot1bDate</vt:lpstr>
      <vt:lpstr>'IWP02'!Std3dot1bDate</vt:lpstr>
      <vt:lpstr>'IWP03'!Std3dot1bDate</vt:lpstr>
      <vt:lpstr>'IWP04'!Std3dot1bDate</vt:lpstr>
      <vt:lpstr>'IWP05'!Std3dot1bDate</vt:lpstr>
      <vt:lpstr>'IWP06'!Std3dot1bDate</vt:lpstr>
      <vt:lpstr>'IWP07'!Std3dot1bDate</vt:lpstr>
      <vt:lpstr>'IWP08'!Std3dot1bDate</vt:lpstr>
      <vt:lpstr>'IWP01'!Std3dot2</vt:lpstr>
      <vt:lpstr>'IWP02'!Std3dot2</vt:lpstr>
      <vt:lpstr>'IWP03'!Std3dot2</vt:lpstr>
      <vt:lpstr>'IWP04'!Std3dot2</vt:lpstr>
      <vt:lpstr>'IWP05'!Std3dot2</vt:lpstr>
      <vt:lpstr>'IWP06'!Std3dot2</vt:lpstr>
      <vt:lpstr>'IWP07'!Std3dot2</vt:lpstr>
      <vt:lpstr>'IWP08'!Std3dot2</vt:lpstr>
      <vt:lpstr>'IWP01'!Std3dot2AdditionalTasks</vt:lpstr>
      <vt:lpstr>'IWP02'!Std3dot2AdditionalTasks</vt:lpstr>
      <vt:lpstr>'IWP03'!Std3dot2AdditionalTasks</vt:lpstr>
      <vt:lpstr>'IWP04'!Std3dot2AdditionalTasks</vt:lpstr>
      <vt:lpstr>'IWP05'!Std3dot2AdditionalTasks</vt:lpstr>
      <vt:lpstr>'IWP06'!Std3dot2AdditionalTasks</vt:lpstr>
      <vt:lpstr>'IWP07'!Std3dot2AdditionalTasks</vt:lpstr>
      <vt:lpstr>'IWP08'!Std3dot2AdditionalTasks</vt:lpstr>
      <vt:lpstr>'IWP01'!Std3dot2Month1</vt:lpstr>
      <vt:lpstr>'IWP02'!Std3dot2Month1</vt:lpstr>
      <vt:lpstr>'IWP03'!Std3dot2Month1</vt:lpstr>
      <vt:lpstr>'IWP04'!Std3dot2Month1</vt:lpstr>
      <vt:lpstr>'IWP05'!Std3dot2Month1</vt:lpstr>
      <vt:lpstr>'IWP06'!Std3dot2Month1</vt:lpstr>
      <vt:lpstr>'IWP07'!Std3dot2Month1</vt:lpstr>
      <vt:lpstr>'IWP08'!Std3dot2Month1</vt:lpstr>
      <vt:lpstr>'IWP01'!Std3dot2Month1Date</vt:lpstr>
      <vt:lpstr>'IWP02'!Std3dot2Month1Date</vt:lpstr>
      <vt:lpstr>'IWP03'!Std3dot2Month1Date</vt:lpstr>
      <vt:lpstr>'IWP04'!Std3dot2Month1Date</vt:lpstr>
      <vt:lpstr>'IWP05'!Std3dot2Month1Date</vt:lpstr>
      <vt:lpstr>'IWP06'!Std3dot2Month1Date</vt:lpstr>
      <vt:lpstr>'IWP07'!Std3dot2Month1Date</vt:lpstr>
      <vt:lpstr>'IWP08'!Std3dot2Month1Date</vt:lpstr>
      <vt:lpstr>'IWP01'!Std3dot2Month2</vt:lpstr>
      <vt:lpstr>'IWP02'!Std3dot2Month2</vt:lpstr>
      <vt:lpstr>'IWP03'!Std3dot2Month2</vt:lpstr>
      <vt:lpstr>'IWP04'!Std3dot2Month2</vt:lpstr>
      <vt:lpstr>'IWP05'!Std3dot2Month2</vt:lpstr>
      <vt:lpstr>'IWP06'!Std3dot2Month2</vt:lpstr>
      <vt:lpstr>'IWP07'!Std3dot2Month2</vt:lpstr>
      <vt:lpstr>'IWP08'!Std3dot2Month2</vt:lpstr>
      <vt:lpstr>'IWP01'!Std3dot2Month2Date</vt:lpstr>
      <vt:lpstr>'IWP02'!Std3dot2Month2Date</vt:lpstr>
      <vt:lpstr>'IWP03'!Std3dot2Month2Date</vt:lpstr>
      <vt:lpstr>'IWP04'!Std3dot2Month2Date</vt:lpstr>
      <vt:lpstr>'IWP05'!Std3dot2Month2Date</vt:lpstr>
      <vt:lpstr>'IWP06'!Std3dot2Month2Date</vt:lpstr>
      <vt:lpstr>'IWP07'!Std3dot2Month2Date</vt:lpstr>
      <vt:lpstr>'IWP08'!Std3dot2Month2Date</vt:lpstr>
      <vt:lpstr>'IWP01'!Std3dot3</vt:lpstr>
      <vt:lpstr>'IWP02'!Std3dot3</vt:lpstr>
      <vt:lpstr>'IWP03'!Std3dot3</vt:lpstr>
      <vt:lpstr>'IWP04'!Std3dot3</vt:lpstr>
      <vt:lpstr>'IWP05'!Std3dot3</vt:lpstr>
      <vt:lpstr>'IWP06'!Std3dot3</vt:lpstr>
      <vt:lpstr>'IWP07'!Std3dot3</vt:lpstr>
      <vt:lpstr>'IWP08'!Std3dot3</vt:lpstr>
      <vt:lpstr>'IWP01'!Std3dot4</vt:lpstr>
      <vt:lpstr>'IWP02'!Std3dot4</vt:lpstr>
      <vt:lpstr>'IWP03'!Std3dot4</vt:lpstr>
      <vt:lpstr>'IWP04'!Std3dot4</vt:lpstr>
      <vt:lpstr>'IWP05'!Std3dot4</vt:lpstr>
      <vt:lpstr>'IWP06'!Std3dot4</vt:lpstr>
      <vt:lpstr>'IWP07'!Std3dot4</vt:lpstr>
      <vt:lpstr>'IWP08'!Std3dot4</vt:lpstr>
      <vt:lpstr>'IWP01'!Std3NotCalc</vt:lpstr>
      <vt:lpstr>'IWP02'!Std3NotCalc</vt:lpstr>
      <vt:lpstr>'IWP03'!Std3NotCalc</vt:lpstr>
      <vt:lpstr>'IWP04'!Std3NotCalc</vt:lpstr>
      <vt:lpstr>'IWP05'!Std3NotCalc</vt:lpstr>
      <vt:lpstr>'IWP06'!Std3NotCalc</vt:lpstr>
      <vt:lpstr>'IWP07'!Std3NotCalc</vt:lpstr>
      <vt:lpstr>'IWP08'!Std3NotCalc</vt:lpstr>
      <vt:lpstr>'IWP01'!Std4dot1</vt:lpstr>
      <vt:lpstr>'IWP02'!Std4dot1</vt:lpstr>
      <vt:lpstr>'IWP03'!Std4dot1</vt:lpstr>
      <vt:lpstr>'IWP04'!Std4dot1</vt:lpstr>
      <vt:lpstr>'IWP05'!Std4dot1</vt:lpstr>
      <vt:lpstr>'IWP06'!Std4dot1</vt:lpstr>
      <vt:lpstr>'IWP07'!Std4dot1</vt:lpstr>
      <vt:lpstr>'IWP08'!Std4dot1</vt:lpstr>
      <vt:lpstr>'IWP01'!Std4dot1a</vt:lpstr>
      <vt:lpstr>'IWP02'!Std4dot1a</vt:lpstr>
      <vt:lpstr>'IWP03'!Std4dot1a</vt:lpstr>
      <vt:lpstr>'IWP04'!Std4dot1a</vt:lpstr>
      <vt:lpstr>'IWP05'!Std4dot1a</vt:lpstr>
      <vt:lpstr>'IWP06'!Std4dot1a</vt:lpstr>
      <vt:lpstr>'IWP07'!Std4dot1a</vt:lpstr>
      <vt:lpstr>'IWP08'!Std4dot1a</vt:lpstr>
      <vt:lpstr>'IWP01'!Std4dot1b</vt:lpstr>
      <vt:lpstr>'IWP02'!Std4dot1b</vt:lpstr>
      <vt:lpstr>'IWP03'!Std4dot1b</vt:lpstr>
      <vt:lpstr>'IWP04'!Std4dot1b</vt:lpstr>
      <vt:lpstr>'IWP05'!Std4dot1b</vt:lpstr>
      <vt:lpstr>'IWP06'!Std4dot1b</vt:lpstr>
      <vt:lpstr>'IWP07'!Std4dot1b</vt:lpstr>
      <vt:lpstr>'IWP08'!Std4dot1b</vt:lpstr>
      <vt:lpstr>'IWP01'!Std4dot1c</vt:lpstr>
      <vt:lpstr>'IWP02'!Std4dot1c</vt:lpstr>
      <vt:lpstr>'IWP03'!Std4dot1c</vt:lpstr>
      <vt:lpstr>'IWP04'!Std4dot1c</vt:lpstr>
      <vt:lpstr>'IWP05'!Std4dot1c</vt:lpstr>
      <vt:lpstr>'IWP06'!Std4dot1c</vt:lpstr>
      <vt:lpstr>'IWP07'!Std4dot1c</vt:lpstr>
      <vt:lpstr>'IWP08'!Std4dot1c</vt:lpstr>
      <vt:lpstr>'IWP01'!Std4dot1d</vt:lpstr>
      <vt:lpstr>'IWP02'!Std4dot1d</vt:lpstr>
      <vt:lpstr>'IWP03'!Std4dot1d</vt:lpstr>
      <vt:lpstr>'IWP04'!Std4dot1d</vt:lpstr>
      <vt:lpstr>'IWP05'!Std4dot1d</vt:lpstr>
      <vt:lpstr>'IWP06'!Std4dot1d</vt:lpstr>
      <vt:lpstr>'IWP07'!Std4dot1d</vt:lpstr>
      <vt:lpstr>'IWP08'!Std4dot1d</vt:lpstr>
      <vt:lpstr>'IWP01'!Std5dot1</vt:lpstr>
      <vt:lpstr>'IWP02'!Std5dot1</vt:lpstr>
      <vt:lpstr>'IWP03'!Std5dot1</vt:lpstr>
      <vt:lpstr>'IWP04'!Std5dot1</vt:lpstr>
      <vt:lpstr>'IWP05'!Std5dot1</vt:lpstr>
      <vt:lpstr>'IWP06'!Std5dot1</vt:lpstr>
      <vt:lpstr>'IWP07'!Std5dot1</vt:lpstr>
      <vt:lpstr>'IWP08'!Std5dot1</vt:lpstr>
      <vt:lpstr>'IWP01'!Std5NotCalc</vt:lpstr>
      <vt:lpstr>'IWP02'!Std5NotCalc</vt:lpstr>
      <vt:lpstr>'IWP03'!Std5NotCalc</vt:lpstr>
      <vt:lpstr>'IWP04'!Std5NotCalc</vt:lpstr>
      <vt:lpstr>'IWP05'!Std5NotCalc</vt:lpstr>
      <vt:lpstr>'IWP06'!Std5NotCalc</vt:lpstr>
      <vt:lpstr>'IWP07'!Std5NotCalc</vt:lpstr>
      <vt:lpstr>'IWP08'!Std5NotCalc</vt:lpstr>
      <vt:lpstr>'IWP01'!Std7dot1</vt:lpstr>
      <vt:lpstr>'IWP02'!Std7dot1</vt:lpstr>
      <vt:lpstr>'IWP03'!Std7dot1</vt:lpstr>
      <vt:lpstr>'IWP04'!Std7dot1</vt:lpstr>
      <vt:lpstr>'IWP05'!Std7dot1</vt:lpstr>
      <vt:lpstr>'IWP06'!Std7dot1</vt:lpstr>
      <vt:lpstr>'IWP07'!Std7dot1</vt:lpstr>
      <vt:lpstr>'IWP08'!Std7dot1</vt:lpstr>
      <vt:lpstr>'IWP01'!Std7dot1AdjBal</vt:lpstr>
      <vt:lpstr>'IWP02'!Std7dot1AdjBal</vt:lpstr>
      <vt:lpstr>'IWP03'!Std7dot1AdjBal</vt:lpstr>
      <vt:lpstr>'IWP04'!Std7dot1AdjBal</vt:lpstr>
      <vt:lpstr>'IWP05'!Std7dot1AdjBal</vt:lpstr>
      <vt:lpstr>'IWP06'!Std7dot1AdjBal</vt:lpstr>
      <vt:lpstr>'IWP07'!Std7dot1AdjBal</vt:lpstr>
      <vt:lpstr>'IWP08'!Std7dot1AdjBal</vt:lpstr>
      <vt:lpstr>'IWP01'!Std7dot1BalPerCshLog</vt:lpstr>
      <vt:lpstr>'IWP02'!Std7dot1BalPerCshLog</vt:lpstr>
      <vt:lpstr>'IWP03'!Std7dot1BalPerCshLog</vt:lpstr>
      <vt:lpstr>'IWP04'!Std7dot1BalPerCshLog</vt:lpstr>
      <vt:lpstr>'IWP05'!Std7dot1BalPerCshLog</vt:lpstr>
      <vt:lpstr>'IWP06'!Std7dot1BalPerCshLog</vt:lpstr>
      <vt:lpstr>'IWP07'!Std7dot1BalPerCshLog</vt:lpstr>
      <vt:lpstr>'IWP08'!Std7dot1BalPerCshLog</vt:lpstr>
      <vt:lpstr>'IWP01'!Std7dot1CshOnHand</vt:lpstr>
      <vt:lpstr>'IWP02'!Std7dot1CshOnHand</vt:lpstr>
      <vt:lpstr>'IWP03'!Std7dot1CshOnHand</vt:lpstr>
      <vt:lpstr>'IWP04'!Std7dot1CshOnHand</vt:lpstr>
      <vt:lpstr>'IWP05'!Std7dot1CshOnHand</vt:lpstr>
      <vt:lpstr>'IWP06'!Std7dot1CshOnHand</vt:lpstr>
      <vt:lpstr>'IWP07'!Std7dot1CshOnHand</vt:lpstr>
      <vt:lpstr>'IWP08'!Std7dot1CshOnHand</vt:lpstr>
      <vt:lpstr>'IWP01'!Std7dot1LessAdj</vt:lpstr>
      <vt:lpstr>'IWP02'!Std7dot1LessAdj</vt:lpstr>
      <vt:lpstr>'IWP03'!Std7dot1LessAdj</vt:lpstr>
      <vt:lpstr>'IWP04'!Std7dot1LessAdj</vt:lpstr>
      <vt:lpstr>'IWP05'!Std7dot1LessAdj</vt:lpstr>
      <vt:lpstr>'IWP06'!Std7dot1LessAdj</vt:lpstr>
      <vt:lpstr>'IWP07'!Std7dot1LessAdj</vt:lpstr>
      <vt:lpstr>'IWP08'!Std7dot1LessAdj</vt:lpstr>
      <vt:lpstr>'IWP01'!Std7dot1NotCalc</vt:lpstr>
      <vt:lpstr>'IWP02'!Std7dot1NotCalc</vt:lpstr>
      <vt:lpstr>'IWP03'!Std7dot1NotCalc</vt:lpstr>
      <vt:lpstr>'IWP04'!Std7dot1NotCalc</vt:lpstr>
      <vt:lpstr>'IWP05'!Std7dot1NotCalc</vt:lpstr>
      <vt:lpstr>'IWP06'!Std7dot1NotCalc</vt:lpstr>
      <vt:lpstr>'IWP07'!Std7dot1NotCalc</vt:lpstr>
      <vt:lpstr>'IWP08'!Std7dot1NotCalc</vt:lpstr>
      <vt:lpstr>'IWP01'!Std7dot1OvrShrtCorr</vt:lpstr>
      <vt:lpstr>'IWP02'!Std7dot1OvrShrtCorr</vt:lpstr>
      <vt:lpstr>'IWP03'!Std7dot1OvrShrtCorr</vt:lpstr>
      <vt:lpstr>'IWP04'!Std7dot1OvrShrtCorr</vt:lpstr>
      <vt:lpstr>'IWP05'!Std7dot1OvrShrtCorr</vt:lpstr>
      <vt:lpstr>'IWP06'!Std7dot1OvrShrtCorr</vt:lpstr>
      <vt:lpstr>'IWP07'!Std7dot1OvrShrtCorr</vt:lpstr>
      <vt:lpstr>'IWP08'!Std7dot1OvrShrtCorr</vt:lpstr>
      <vt:lpstr>'IWP01'!Std7dot1PtyCshOvrShrt</vt:lpstr>
      <vt:lpstr>'IWP02'!Std7dot1PtyCshOvrShrt</vt:lpstr>
      <vt:lpstr>'IWP03'!Std7dot1PtyCshOvrShrt</vt:lpstr>
      <vt:lpstr>'IWP04'!Std7dot1PtyCshOvrShrt</vt:lpstr>
      <vt:lpstr>'IWP05'!Std7dot1PtyCshOvrShrt</vt:lpstr>
      <vt:lpstr>'IWP06'!Std7dot1PtyCshOvrShrt</vt:lpstr>
      <vt:lpstr>'IWP07'!Std7dot1PtyCshOvrShrt</vt:lpstr>
      <vt:lpstr>'IWP08'!Std7dot1PtyCshOvrShrt</vt:lpstr>
      <vt:lpstr>'IWP01'!Std9AdjBalPerBank</vt:lpstr>
      <vt:lpstr>'IWP02'!Std9AdjBalPerBank</vt:lpstr>
      <vt:lpstr>'IWP03'!Std9AdjBalPerBank</vt:lpstr>
      <vt:lpstr>'IWP04'!Std9AdjBalPerBank</vt:lpstr>
      <vt:lpstr>'IWP05'!Std9AdjBalPerBank</vt:lpstr>
      <vt:lpstr>'IWP06'!Std9AdjBalPerBank</vt:lpstr>
      <vt:lpstr>'IWP07'!Std9AdjBalPerBank</vt:lpstr>
      <vt:lpstr>'IWP08'!Std9AdjBalPerBank</vt:lpstr>
      <vt:lpstr>'IWP01'!Std9AdjBalPerBks</vt:lpstr>
      <vt:lpstr>'IWP02'!Std9AdjBalPerBks</vt:lpstr>
      <vt:lpstr>'IWP03'!Std9AdjBalPerBks</vt:lpstr>
      <vt:lpstr>'IWP04'!Std9AdjBalPerBks</vt:lpstr>
      <vt:lpstr>'IWP05'!Std9AdjBalPerBks</vt:lpstr>
      <vt:lpstr>'IWP06'!Std9AdjBalPerBks</vt:lpstr>
      <vt:lpstr>'IWP07'!Std9AdjBalPerBks</vt:lpstr>
      <vt:lpstr>'IWP08'!Std9AdjBalPerBks</vt:lpstr>
      <vt:lpstr>'IWP01'!Std9BalPerBks</vt:lpstr>
      <vt:lpstr>'IWP02'!Std9BalPerBks</vt:lpstr>
      <vt:lpstr>'IWP03'!Std9BalPerBks</vt:lpstr>
      <vt:lpstr>'IWP04'!Std9BalPerBks</vt:lpstr>
      <vt:lpstr>'IWP05'!Std9BalPerBks</vt:lpstr>
      <vt:lpstr>'IWP06'!Std9BalPerBks</vt:lpstr>
      <vt:lpstr>'IWP07'!Std9BalPerBks</vt:lpstr>
      <vt:lpstr>'IWP08'!Std9BalPerBks</vt:lpstr>
      <vt:lpstr>'IWP01'!Std9BalPerBksDt</vt:lpstr>
      <vt:lpstr>'IWP02'!Std9BalPerBksDt</vt:lpstr>
      <vt:lpstr>'IWP03'!Std9BalPerBksDt</vt:lpstr>
      <vt:lpstr>'IWP04'!Std9BalPerBksDt</vt:lpstr>
      <vt:lpstr>'IWP05'!Std9BalPerBksDt</vt:lpstr>
      <vt:lpstr>'IWP06'!Std9BalPerBksDt</vt:lpstr>
      <vt:lpstr>'IWP07'!Std9BalPerBksDt</vt:lpstr>
      <vt:lpstr>'IWP08'!Std9BalPerBksDt</vt:lpstr>
      <vt:lpstr>'IWP01'!Std9BalPerBnkStmt</vt:lpstr>
      <vt:lpstr>'IWP02'!Std9BalPerBnkStmt</vt:lpstr>
      <vt:lpstr>'IWP03'!Std9BalPerBnkStmt</vt:lpstr>
      <vt:lpstr>'IWP04'!Std9BalPerBnkStmt</vt:lpstr>
      <vt:lpstr>'IWP05'!Std9BalPerBnkStmt</vt:lpstr>
      <vt:lpstr>'IWP06'!Std9BalPerBnkStmt</vt:lpstr>
      <vt:lpstr>'IWP07'!Std9BalPerBnkStmt</vt:lpstr>
      <vt:lpstr>'IWP08'!Std9BalPerBnkStmt</vt:lpstr>
      <vt:lpstr>'IWP01'!Std9BalPerBnkStmtDt</vt:lpstr>
      <vt:lpstr>'IWP02'!Std9BalPerBnkStmtDt</vt:lpstr>
      <vt:lpstr>'IWP03'!Std9BalPerBnkStmtDt</vt:lpstr>
      <vt:lpstr>'IWP04'!Std9BalPerBnkStmtDt</vt:lpstr>
      <vt:lpstr>'IWP05'!Std9BalPerBnkStmtDt</vt:lpstr>
      <vt:lpstr>'IWP06'!Std9BalPerBnkStmtDt</vt:lpstr>
      <vt:lpstr>'IWP07'!Std9BalPerBnkStmtDt</vt:lpstr>
      <vt:lpstr>'IWP08'!Std9BalPerBnkStmtDt</vt:lpstr>
      <vt:lpstr>'IWP01'!Std9dot1</vt:lpstr>
      <vt:lpstr>'IWP02'!Std9dot1</vt:lpstr>
      <vt:lpstr>'IWP03'!Std9dot1</vt:lpstr>
      <vt:lpstr>'IWP04'!Std9dot1</vt:lpstr>
      <vt:lpstr>'IWP05'!Std9dot1</vt:lpstr>
      <vt:lpstr>'IWP06'!Std9dot1</vt:lpstr>
      <vt:lpstr>'IWP07'!Std9dot1</vt:lpstr>
      <vt:lpstr>'IWP08'!Std9dot1</vt:lpstr>
      <vt:lpstr>'IWP01'!Std9dot1aNotCalc</vt:lpstr>
      <vt:lpstr>'IWP02'!Std9dot1aNotCalc</vt:lpstr>
      <vt:lpstr>'IWP03'!Std9dot1aNotCalc</vt:lpstr>
      <vt:lpstr>'IWP04'!Std9dot1aNotCalc</vt:lpstr>
      <vt:lpstr>'IWP05'!Std9dot1aNotCalc</vt:lpstr>
      <vt:lpstr>'IWP06'!Std9dot1aNotCalc</vt:lpstr>
      <vt:lpstr>'IWP07'!Std9dot1aNotCalc</vt:lpstr>
      <vt:lpstr>'IWP08'!Std9dot1aNotCalc</vt:lpstr>
      <vt:lpstr>'IWP01'!Std9dot1bNotCalc</vt:lpstr>
      <vt:lpstr>'IWP02'!Std9dot1bNotCalc</vt:lpstr>
      <vt:lpstr>'IWP03'!Std9dot1bNotCalc</vt:lpstr>
      <vt:lpstr>'IWP04'!Std9dot1bNotCalc</vt:lpstr>
      <vt:lpstr>'IWP05'!Std9dot1bNotCalc</vt:lpstr>
      <vt:lpstr>'IWP06'!Std9dot1bNotCalc</vt:lpstr>
      <vt:lpstr>'IWP07'!Std9dot1bNotCalc</vt:lpstr>
      <vt:lpstr>'IWP08'!Std9dot1bNotCalc</vt:lpstr>
      <vt:lpstr>'IWP01'!Std9NsfChks</vt:lpstr>
      <vt:lpstr>'IWP02'!Std9NsfChks</vt:lpstr>
      <vt:lpstr>'IWP03'!Std9NsfChks</vt:lpstr>
      <vt:lpstr>'IWP04'!Std9NsfChks</vt:lpstr>
      <vt:lpstr>'IWP05'!Std9NsfChks</vt:lpstr>
      <vt:lpstr>'IWP06'!Std9NsfChks</vt:lpstr>
      <vt:lpstr>'IWP07'!Std9NsfChks</vt:lpstr>
      <vt:lpstr>'IWP08'!Std9NsfChks</vt:lpstr>
      <vt:lpstr>'IWP01'!Std9OvrShrtCorrctd</vt:lpstr>
      <vt:lpstr>'IWP02'!Std9OvrShrtCorrctd</vt:lpstr>
      <vt:lpstr>'IWP03'!Std9OvrShrtCorrctd</vt:lpstr>
      <vt:lpstr>'IWP04'!Std9OvrShrtCorrctd</vt:lpstr>
      <vt:lpstr>'IWP05'!Std9OvrShrtCorrctd</vt:lpstr>
      <vt:lpstr>'IWP06'!Std9OvrShrtCorrctd</vt:lpstr>
      <vt:lpstr>'IWP07'!Std9OvrShrtCorrctd</vt:lpstr>
      <vt:lpstr>'IWP08'!Std9OvrShrtCorrctd</vt:lpstr>
      <vt:lpstr>'IWP01'!Std9ShrtUnreimbSvcChg</vt:lpstr>
      <vt:lpstr>'IWP02'!Std9ShrtUnreimbSvcChg</vt:lpstr>
      <vt:lpstr>'IWP03'!Std9ShrtUnreimbSvcChg</vt:lpstr>
      <vt:lpstr>'IWP04'!Std9ShrtUnreimbSvcChg</vt:lpstr>
      <vt:lpstr>'IWP05'!Std9ShrtUnreimbSvcChg</vt:lpstr>
      <vt:lpstr>'IWP06'!Std9ShrtUnreimbSvcChg</vt:lpstr>
      <vt:lpstr>'IWP07'!Std9ShrtUnreimbSvcChg</vt:lpstr>
      <vt:lpstr>'IWP08'!Std9ShrtUnreimbSvcChg</vt:lpstr>
      <vt:lpstr>'IWP01'!Std9TotCshBnkAndHnd</vt:lpstr>
      <vt:lpstr>'IWP02'!Std9TotCshBnkAndHnd</vt:lpstr>
      <vt:lpstr>'IWP03'!Std9TotCshBnkAndHnd</vt:lpstr>
      <vt:lpstr>'IWP04'!Std9TotCshBnkAndHnd</vt:lpstr>
      <vt:lpstr>'IWP05'!Std9TotCshBnkAndHnd</vt:lpstr>
      <vt:lpstr>'IWP06'!Std9TotCshBnkAndHnd</vt:lpstr>
      <vt:lpstr>'IWP07'!Std9TotCshBnkAndHnd</vt:lpstr>
      <vt:lpstr>'IWP08'!Std9TotCshBnkAndHnd</vt:lpstr>
      <vt:lpstr>'IWP01'!Std9TotDepsInTrans</vt:lpstr>
      <vt:lpstr>'IWP02'!Std9TotDepsInTrans</vt:lpstr>
      <vt:lpstr>'IWP03'!Std9TotDepsInTrans</vt:lpstr>
      <vt:lpstr>'IWP04'!Std9TotDepsInTrans</vt:lpstr>
      <vt:lpstr>'IWP05'!Std9TotDepsInTrans</vt:lpstr>
      <vt:lpstr>'IWP06'!Std9TotDepsInTrans</vt:lpstr>
      <vt:lpstr>'IWP07'!Std9TotDepsInTrans</vt:lpstr>
      <vt:lpstr>'IWP08'!Std9TotDepsInTrans</vt:lpstr>
      <vt:lpstr>'IWP01'!Std9TotOutsChks</vt:lpstr>
      <vt:lpstr>'IWP02'!Std9TotOutsChks</vt:lpstr>
      <vt:lpstr>'IWP03'!Std9TotOutsChks</vt:lpstr>
      <vt:lpstr>'IWP04'!Std9TotOutsChks</vt:lpstr>
      <vt:lpstr>'IWP05'!Std9TotOutsChks</vt:lpstr>
      <vt:lpstr>'IWP06'!Std9TotOutsChks</vt:lpstr>
      <vt:lpstr>'IWP07'!Std9TotOutsChks</vt:lpstr>
      <vt:lpstr>'IWP08'!Std9TotOutsChks</vt:lpstr>
      <vt:lpstr>'IWP01'!Std9TotPtyCshIndv</vt:lpstr>
      <vt:lpstr>'IWP02'!Std9TotPtyCshIndv</vt:lpstr>
      <vt:lpstr>'IWP03'!Std9TotPtyCshIndv</vt:lpstr>
      <vt:lpstr>'IWP04'!Std9TotPtyCshIndv</vt:lpstr>
      <vt:lpstr>'IWP05'!Std9TotPtyCshIndv</vt:lpstr>
      <vt:lpstr>'IWP06'!Std9TotPtyCshIndv</vt:lpstr>
      <vt:lpstr>'IWP07'!Std9TotPtyCshIndv</vt:lpstr>
      <vt:lpstr>'IWP08'!Std9TotPtyCshIndv</vt:lpstr>
      <vt:lpstr>'IWP01'!Std9TotPtyCshIndvDt</vt:lpstr>
      <vt:lpstr>'IWP02'!Std9TotPtyCshIndvDt</vt:lpstr>
      <vt:lpstr>'IWP03'!Std9TotPtyCshIndvDt</vt:lpstr>
      <vt:lpstr>'IWP04'!Std9TotPtyCshIndvDt</vt:lpstr>
      <vt:lpstr>'IWP05'!Std9TotPtyCshIndvDt</vt:lpstr>
      <vt:lpstr>'IWP06'!Std9TotPtyCshIndvDt</vt:lpstr>
      <vt:lpstr>'IWP07'!Std9TotPtyCshIndvDt</vt:lpstr>
      <vt:lpstr>'IWP08'!Std9TotPtyCshIndvDt</vt:lpstr>
      <vt:lpstr>'IWP01'!Std9TrstFndAcctOvrShrt</vt:lpstr>
      <vt:lpstr>'IWP02'!Std9TrstFndAcctOvrShrt</vt:lpstr>
      <vt:lpstr>'IWP03'!Std9TrstFndAcctOvrShrt</vt:lpstr>
      <vt:lpstr>'IWP04'!Std9TrstFndAcctOvrShrt</vt:lpstr>
      <vt:lpstr>'IWP05'!Std9TrstFndAcctOvrShrt</vt:lpstr>
      <vt:lpstr>'IWP06'!Std9TrstFndAcctOvrShrt</vt:lpstr>
      <vt:lpstr>'IWP07'!Std9TrstFndAcctOvrShrt</vt:lpstr>
      <vt:lpstr>'IWP08'!Std9TrstFndAcctOvrShrt</vt:lpstr>
      <vt:lpstr>'IWP01'!Std9UnapplErndInt</vt:lpstr>
      <vt:lpstr>'IWP02'!Std9UnapplErndInt</vt:lpstr>
      <vt:lpstr>'IWP03'!Std9UnapplErndInt</vt:lpstr>
      <vt:lpstr>'IWP04'!Std9UnapplErndInt</vt:lpstr>
      <vt:lpstr>'IWP05'!Std9UnapplErndInt</vt:lpstr>
      <vt:lpstr>'IWP06'!Std9UnapplErndInt</vt:lpstr>
      <vt:lpstr>'IWP07'!Std9UnapplErndInt</vt:lpstr>
      <vt:lpstr>'IWP08'!Std9UnapplErndInt</vt:lpstr>
      <vt:lpstr>'IWP01'!Std9UnpstdRcptDsbrsmts</vt:lpstr>
      <vt:lpstr>'IWP02'!Std9UnpstdRcptDsbrsmts</vt:lpstr>
      <vt:lpstr>'IWP03'!Std9UnpstdRcptDsbrsmts</vt:lpstr>
      <vt:lpstr>'IWP04'!Std9UnpstdRcptDsbrsmts</vt:lpstr>
      <vt:lpstr>'IWP05'!Std9UnpstdRcptDsbrsmts</vt:lpstr>
      <vt:lpstr>'IWP06'!Std9UnpstdRcptDsbrsmts</vt:lpstr>
      <vt:lpstr>'IWP07'!Std9UnpstdRcptDsbrsmts</vt:lpstr>
      <vt:lpstr>'IWP08'!Std9UnpstdRcptDsbrsmts</vt:lpstr>
      <vt:lpstr>'AFC Indiv. Fund Summary (Print)'!TrstFndRfndDcsdOrDschdIndv</vt:lpstr>
      <vt:lpstr>Trust_Fund_Trial_Balances</vt:lpstr>
      <vt:lpstr>'AFC Indiv. Fund Summary (Print)'!UnallwblWthdrwls</vt:lpstr>
      <vt:lpstr>'AFC Indiv. Fund Summary (Print)'!UnauthUndocWthdrwls</vt:lpstr>
      <vt:lpstr>'AFC Indiv. Fund Summary (Print)'!UnsdRmBdPrrtdCoPyDueDcsdDschdIndv</vt:lpstr>
      <vt:lpstr>Data!XaoAfcAuthToMngMoney</vt:lpstr>
      <vt:lpstr>Data!XaoBnkchgsfcltyIndvTrstFnd</vt:lpstr>
      <vt:lpstr>Data!XaoBnkChgsPldTrstFndAcct</vt:lpstr>
      <vt:lpstr>Data!XaoComplianceSummaries</vt:lpstr>
      <vt:lpstr>Data!XaoCoPyRfndCrdtDueHsptlzdIndv</vt:lpstr>
      <vt:lpstr>Data!XaoDmdForPayNoticeTotals</vt:lpstr>
      <vt:lpstr>Data!XaoDpstsIndvTrstFndOrPtyCshAcct</vt:lpstr>
      <vt:lpstr>Data!XaoDpstsPldTrstFndAcct</vt:lpstr>
      <vt:lpstr>Data!XaoIndvPtyCshFndRcncltn</vt:lpstr>
      <vt:lpstr>Data!XaoIndvTrstFndRcncltn</vt:lpstr>
      <vt:lpstr>Data!XaoIwp9dot1DepstInTransit</vt:lpstr>
      <vt:lpstr>Data!XaoIwp9dot1OutstdChks</vt:lpstr>
      <vt:lpstr>Data!XaoIwpData</vt:lpstr>
      <vt:lpstr>Data!XaoIwpStd10dot3Deposits</vt:lpstr>
      <vt:lpstr>Data!XaoIwpStd10dot4Wthdrwls</vt:lpstr>
      <vt:lpstr>Data!XaoIwpStd10dot5Wthdrwls</vt:lpstr>
      <vt:lpstr>Data!XaoIwpStd11dot3Billing</vt:lpstr>
      <vt:lpstr>Data!XaoMonitoringWbk</vt:lpstr>
      <vt:lpstr>Data!XaoMonWbkChksDpsts</vt:lpstr>
      <vt:lpstr>Data!XaoMonWbkDpstsInTrans</vt:lpstr>
      <vt:lpstr>Data!XaoMonWbkTrstFndTrlBals</vt:lpstr>
      <vt:lpstr>Data!XaoOvrCollRmBdCoPayBdHld</vt:lpstr>
      <vt:lpstr>Data!XaoPldPtyCshFndRcncltn</vt:lpstr>
      <vt:lpstr>Data!XaoPldTrstFndAcctRcncltn</vt:lpstr>
      <vt:lpstr>Data!XaoPrrtdIntPldTrstFndAcct</vt:lpstr>
      <vt:lpstr>Data!XaoTrstFndRfndDcsdOrDschdIndv</vt:lpstr>
      <vt:lpstr>Data!XaoUnallwblWthdrwls</vt:lpstr>
      <vt:lpstr>Data!XaoUnauthUndocWthdrwls</vt:lpstr>
      <vt:lpstr>Data!XaoUnsdRmBdCoPyDueDschdIndv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Nelson,Rose M (HHSC)</dc:creator>
  <cp:lastModifiedBy>Nelson,Rose M (HHSC)</cp:lastModifiedBy>
  <dcterms:created xsi:type="dcterms:W3CDTF">2006-09-16T00:00:00Z</dcterms:created>
  <dcterms:modified xsi:type="dcterms:W3CDTF">2024-02-07T15:18:09Z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4e2a6e2d-af8b-465e-9225-9f6dd0387fba</vt:lpwstr>
  </property>
  <property fmtid="{D5CDD505-2E9C-101B-9397-08002B2CF9AE}" pid="3" name="ContentTypeId">
    <vt:lpwstr>0x0101005FD73717C8F3A54C992E2A79E8EFF594</vt:lpwstr>
  </property>
</Properties>
</file>