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Website\Attachments for subpages\PPEs\"/>
    </mc:Choice>
  </mc:AlternateContent>
  <bookViews>
    <workbookView xWindow="-15" yWindow="6930" windowWidth="20610" windowHeight="6480" tabRatio="742"/>
  </bookViews>
  <sheets>
    <sheet name="1 - COVER" sheetId="14" r:id="rId1"/>
    <sheet name="2 - NOTES " sheetId="8" r:id="rId2"/>
    <sheet name="3 - PPC AWARD" sheetId="4" r:id="rId3"/>
    <sheet name="4 - PPR AWARD" sheetId="1" r:id="rId4"/>
    <sheet name="5 - OVERALL %s BY HOSPITAL" sheetId="9" r:id="rId5"/>
    <sheet name="6 - IP_MCO and FFS %" sheetId="10" r:id="rId6"/>
  </sheets>
  <definedNames>
    <definedName name="_xlnm._FilterDatabase" localSheetId="2" hidden="1">'3 - PPC AWARD'!$C$9:$M$9</definedName>
    <definedName name="_xlnm._FilterDatabase" localSheetId="3" hidden="1">'4 - PPR AWARD'!$C$9:$M$9</definedName>
    <definedName name="_xlnm._FilterDatabase" localSheetId="4" hidden="1">'5 - OVERALL %s BY HOSPITAL'!$C$1:$J$1</definedName>
    <definedName name="_xlnm._FilterDatabase" localSheetId="5" hidden="1">'6 - IP_MCO and FFS %'!$A$2:$H$35</definedName>
  </definedNames>
  <calcPr calcId="152511"/>
</workbook>
</file>

<file path=xl/calcChain.xml><?xml version="1.0" encoding="utf-8"?>
<calcChain xmlns="http://schemas.openxmlformats.org/spreadsheetml/2006/main">
  <c r="I37" i="4" l="1"/>
  <c r="E16" i="1" l="1"/>
  <c r="E14" i="1"/>
  <c r="I12" i="4" l="1"/>
  <c r="I13" i="4"/>
  <c r="I14" i="4"/>
  <c r="I15" i="4"/>
  <c r="I16" i="4"/>
  <c r="I17" i="4"/>
  <c r="I18" i="4"/>
  <c r="I19" i="4"/>
  <c r="I20" i="4"/>
  <c r="I21" i="4"/>
  <c r="I22" i="4"/>
  <c r="I23" i="4"/>
  <c r="I24" i="4"/>
  <c r="I25" i="4"/>
  <c r="I26" i="4"/>
  <c r="I27" i="4"/>
  <c r="I28" i="4"/>
  <c r="I29" i="4"/>
  <c r="I30" i="4"/>
  <c r="I31" i="4"/>
  <c r="I32" i="4"/>
  <c r="I33" i="4"/>
  <c r="I34" i="4"/>
  <c r="I35" i="4"/>
  <c r="I36" i="4"/>
  <c r="I11" i="4"/>
  <c r="J26" i="4" l="1"/>
  <c r="J34" i="4"/>
  <c r="J30" i="4"/>
  <c r="J36" i="4"/>
  <c r="J22" i="4"/>
  <c r="J18" i="4"/>
  <c r="J15" i="4"/>
  <c r="J29" i="4"/>
  <c r="J25" i="4"/>
  <c r="J13" i="4"/>
  <c r="J33" i="4"/>
  <c r="J21" i="4"/>
  <c r="J17" i="4"/>
  <c r="J28" i="4"/>
  <c r="J23" i="4"/>
  <c r="J14" i="4"/>
  <c r="J11" i="4"/>
  <c r="J32" i="4"/>
  <c r="J24" i="4"/>
  <c r="J20" i="4"/>
  <c r="J16" i="4"/>
  <c r="J12" i="4"/>
  <c r="J35" i="4"/>
  <c r="J31" i="4"/>
  <c r="J27" i="4"/>
  <c r="J19" i="4"/>
  <c r="H37" i="4"/>
  <c r="E36" i="4" l="1"/>
  <c r="E34" i="4"/>
  <c r="E32" i="4"/>
  <c r="E17" i="4"/>
  <c r="E11" i="4"/>
  <c r="H29" i="10"/>
  <c r="G29" i="10"/>
  <c r="O34" i="4" s="1"/>
  <c r="P34" i="4" s="1"/>
  <c r="H25" i="10"/>
  <c r="G25" i="10"/>
  <c r="O23" i="1" s="1"/>
  <c r="P23" i="1" s="1"/>
  <c r="H14" i="10"/>
  <c r="G14" i="10"/>
  <c r="O16" i="1" s="1"/>
  <c r="P16" i="1" s="1"/>
  <c r="H3" i="10"/>
  <c r="G3" i="10"/>
  <c r="O11" i="4" s="1"/>
  <c r="P11" i="4" s="1"/>
  <c r="F4" i="10"/>
  <c r="H4" i="10" l="1"/>
  <c r="E11" i="1"/>
  <c r="E12" i="4"/>
  <c r="G4" i="10"/>
  <c r="I11" i="1"/>
  <c r="O11" i="1" l="1"/>
  <c r="O12" i="4"/>
  <c r="I23" i="1"/>
  <c r="I16" i="1"/>
  <c r="E27" i="1" l="1"/>
  <c r="E25" i="1"/>
  <c r="E24" i="1"/>
  <c r="I14" i="1"/>
  <c r="I15" i="1"/>
  <c r="I17" i="1"/>
  <c r="I18" i="1"/>
  <c r="I19" i="1"/>
  <c r="I20" i="1"/>
  <c r="I21" i="1"/>
  <c r="I22" i="1"/>
  <c r="G32" i="10"/>
  <c r="H32" i="10"/>
  <c r="I27" i="1"/>
  <c r="H9" i="10"/>
  <c r="G9" i="10"/>
  <c r="O17" i="4" s="1"/>
  <c r="P17" i="4" s="1"/>
  <c r="O27" i="1" l="1"/>
  <c r="P27" i="1" s="1"/>
  <c r="O36" i="4"/>
  <c r="P36" i="4" s="1"/>
  <c r="O14" i="1"/>
  <c r="P14" i="1" s="1"/>
  <c r="H27" i="10" l="1"/>
  <c r="G27" i="10"/>
  <c r="O24" i="1" l="1"/>
  <c r="P24" i="1" s="1"/>
  <c r="O32" i="4"/>
  <c r="P32" i="4" s="1"/>
  <c r="H30" i="1" l="1"/>
  <c r="I25" i="1" l="1"/>
  <c r="I13" i="1"/>
  <c r="I29" i="1"/>
  <c r="I28" i="1"/>
  <c r="I26" i="1"/>
  <c r="I24" i="1"/>
  <c r="I12" i="1"/>
  <c r="J11" i="1" l="1"/>
  <c r="J23" i="1"/>
  <c r="J16" i="1"/>
  <c r="I30" i="1"/>
  <c r="J27" i="1"/>
  <c r="J17" i="1"/>
  <c r="J14" i="1"/>
  <c r="J18" i="1"/>
  <c r="J20" i="1"/>
  <c r="J19" i="1"/>
  <c r="J15" i="1"/>
  <c r="J12" i="1"/>
  <c r="J24" i="1"/>
  <c r="J28" i="1"/>
  <c r="J13" i="1"/>
  <c r="J26" i="1"/>
  <c r="J21" i="1"/>
  <c r="J22" i="1"/>
  <c r="J29" i="1"/>
  <c r="J25" i="1"/>
  <c r="E35" i="10" l="1"/>
  <c r="F5" i="10"/>
  <c r="F6" i="10"/>
  <c r="E14" i="4" s="1"/>
  <c r="F7" i="10"/>
  <c r="E15" i="4" s="1"/>
  <c r="F8" i="10"/>
  <c r="E13" i="1" s="1"/>
  <c r="F10" i="10"/>
  <c r="E18" i="4" s="1"/>
  <c r="F11" i="10"/>
  <c r="E19" i="4" s="1"/>
  <c r="F12" i="10"/>
  <c r="E20" i="4" s="1"/>
  <c r="F13" i="10"/>
  <c r="E15" i="1" s="1"/>
  <c r="F15" i="10"/>
  <c r="E22" i="4" s="1"/>
  <c r="F16" i="10"/>
  <c r="E17" i="1" s="1"/>
  <c r="F17" i="10"/>
  <c r="F18" i="10"/>
  <c r="F19" i="10"/>
  <c r="E26" i="4" s="1"/>
  <c r="F20" i="10"/>
  <c r="E27" i="4" s="1"/>
  <c r="F23" i="10"/>
  <c r="F24" i="10"/>
  <c r="F26" i="10"/>
  <c r="E31" i="4" s="1"/>
  <c r="F28" i="10"/>
  <c r="E33" i="4" s="1"/>
  <c r="G30" i="10"/>
  <c r="F31" i="10"/>
  <c r="F33" i="10"/>
  <c r="F34" i="10"/>
  <c r="E18" i="1" l="1"/>
  <c r="E13" i="4"/>
  <c r="E12" i="1"/>
  <c r="E21" i="1"/>
  <c r="E30" i="4"/>
  <c r="E24" i="4"/>
  <c r="E23" i="4"/>
  <c r="E26" i="1"/>
  <c r="E35" i="4"/>
  <c r="E19" i="1"/>
  <c r="E25" i="4"/>
  <c r="E21" i="4"/>
  <c r="E16" i="4"/>
  <c r="G33" i="10"/>
  <c r="E28" i="1"/>
  <c r="O25" i="1"/>
  <c r="P25" i="1" s="1"/>
  <c r="G24" i="10"/>
  <c r="E22" i="1"/>
  <c r="G34" i="10"/>
  <c r="O29" i="1" s="1"/>
  <c r="P29" i="1" s="1"/>
  <c r="E29" i="1"/>
  <c r="G26" i="10"/>
  <c r="G17" i="10"/>
  <c r="G7" i="10"/>
  <c r="O15" i="4" s="1"/>
  <c r="P15" i="4" s="1"/>
  <c r="G20" i="10"/>
  <c r="G16" i="10"/>
  <c r="G11" i="10"/>
  <c r="O19" i="4" s="1"/>
  <c r="P19" i="4" s="1"/>
  <c r="G6" i="10"/>
  <c r="O14" i="4" s="1"/>
  <c r="P14" i="4" s="1"/>
  <c r="G31" i="10"/>
  <c r="O35" i="4" s="1"/>
  <c r="G12" i="10"/>
  <c r="G28" i="10"/>
  <c r="G23" i="10"/>
  <c r="G19" i="10"/>
  <c r="G15" i="10"/>
  <c r="G10" i="10"/>
  <c r="O18" i="4" s="1"/>
  <c r="P18" i="4" s="1"/>
  <c r="G5" i="10"/>
  <c r="G18" i="10"/>
  <c r="G13" i="10"/>
  <c r="G8" i="10"/>
  <c r="H34" i="10"/>
  <c r="H31" i="10"/>
  <c r="H24" i="10"/>
  <c r="H20" i="10"/>
  <c r="H18" i="10"/>
  <c r="H16" i="10"/>
  <c r="H13" i="10"/>
  <c r="H11" i="10"/>
  <c r="H8" i="10"/>
  <c r="H6" i="10"/>
  <c r="H33" i="10"/>
  <c r="H30" i="10"/>
  <c r="H28" i="10"/>
  <c r="H26" i="10"/>
  <c r="H23" i="10"/>
  <c r="H19" i="10"/>
  <c r="H17" i="10"/>
  <c r="H15" i="10"/>
  <c r="H12" i="10"/>
  <c r="H10" i="10"/>
  <c r="H7" i="10"/>
  <c r="H5" i="10"/>
  <c r="P35" i="4" l="1"/>
  <c r="O16" i="4"/>
  <c r="P16" i="4" s="1"/>
  <c r="O13" i="1"/>
  <c r="P13" i="1" s="1"/>
  <c r="O26" i="4"/>
  <c r="P26" i="4" s="1"/>
  <c r="P12" i="4"/>
  <c r="P11" i="1"/>
  <c r="O21" i="4"/>
  <c r="P21" i="4" s="1"/>
  <c r="O15" i="1"/>
  <c r="P15" i="1" s="1"/>
  <c r="O22" i="4"/>
  <c r="P22" i="4" s="1"/>
  <c r="O21" i="1"/>
  <c r="P21" i="1" s="1"/>
  <c r="O30" i="4"/>
  <c r="P30" i="4" s="1"/>
  <c r="O26" i="1"/>
  <c r="P26" i="1" s="1"/>
  <c r="O23" i="4"/>
  <c r="P23" i="4" s="1"/>
  <c r="O17" i="1"/>
  <c r="P17" i="1" s="1"/>
  <c r="O31" i="4"/>
  <c r="P31" i="4" s="1"/>
  <c r="O13" i="4"/>
  <c r="P13" i="4" s="1"/>
  <c r="O12" i="1"/>
  <c r="P12" i="1" s="1"/>
  <c r="O33" i="4"/>
  <c r="P33" i="4" s="1"/>
  <c r="O27" i="4"/>
  <c r="P27" i="4" s="1"/>
  <c r="O24" i="4"/>
  <c r="P24" i="4" s="1"/>
  <c r="O18" i="1"/>
  <c r="P18" i="1" s="1"/>
  <c r="O22" i="1"/>
  <c r="P22" i="1" s="1"/>
  <c r="O19" i="1"/>
  <c r="P19" i="1" s="1"/>
  <c r="O25" i="4"/>
  <c r="P25" i="4" s="1"/>
  <c r="O28" i="1"/>
  <c r="P28" i="1" s="1"/>
  <c r="O20" i="4"/>
  <c r="P20" i="4" s="1"/>
  <c r="C19" i="8" l="1"/>
  <c r="C22" i="8"/>
  <c r="F4" i="4" l="1"/>
  <c r="F4" i="1"/>
  <c r="D34" i="4" l="1"/>
  <c r="D30" i="4"/>
  <c r="D26" i="4"/>
  <c r="D22" i="4"/>
  <c r="D18" i="4"/>
  <c r="D14" i="4"/>
  <c r="D36" i="4"/>
  <c r="D32" i="4"/>
  <c r="D28" i="4"/>
  <c r="D24" i="4"/>
  <c r="D20" i="4"/>
  <c r="D16" i="4"/>
  <c r="D12" i="4"/>
  <c r="D35" i="4"/>
  <c r="D31" i="4"/>
  <c r="D27" i="4"/>
  <c r="D23" i="4"/>
  <c r="D19" i="4"/>
  <c r="D15" i="4"/>
  <c r="D11" i="4"/>
  <c r="D33" i="4"/>
  <c r="D29" i="4"/>
  <c r="D25" i="4"/>
  <c r="D21" i="4"/>
  <c r="D17" i="4"/>
  <c r="D13" i="4"/>
  <c r="D26" i="1"/>
  <c r="D22" i="1"/>
  <c r="D18" i="1"/>
  <c r="D14" i="1"/>
  <c r="D29" i="1"/>
  <c r="D25" i="1"/>
  <c r="D21" i="1"/>
  <c r="D17" i="1"/>
  <c r="D13" i="1"/>
  <c r="D23" i="1"/>
  <c r="D19" i="1"/>
  <c r="D11" i="1"/>
  <c r="D28" i="1"/>
  <c r="D24" i="1"/>
  <c r="D20" i="1"/>
  <c r="D16" i="1"/>
  <c r="D12" i="1"/>
  <c r="D27" i="1"/>
  <c r="D15" i="1"/>
  <c r="D37" i="4" l="1"/>
  <c r="G4" i="4" s="1"/>
  <c r="D30" i="1"/>
  <c r="G4" i="1" s="1"/>
  <c r="F22" i="10" l="1"/>
  <c r="E20" i="1" s="1"/>
  <c r="F28" i="1" s="1"/>
  <c r="G28" i="1" s="1"/>
  <c r="K28" i="1" s="1"/>
  <c r="E29" i="4" l="1"/>
  <c r="F25" i="1"/>
  <c r="G25" i="1" s="1"/>
  <c r="K25" i="1" s="1"/>
  <c r="F19" i="1"/>
  <c r="G19" i="1" s="1"/>
  <c r="K19" i="1" s="1"/>
  <c r="F12" i="1"/>
  <c r="G12" i="1" s="1"/>
  <c r="K12" i="1" s="1"/>
  <c r="F26" i="1"/>
  <c r="G26" i="1" s="1"/>
  <c r="K26" i="1" s="1"/>
  <c r="F18" i="1"/>
  <c r="G18" i="1" s="1"/>
  <c r="K18" i="1" s="1"/>
  <c r="E30" i="1"/>
  <c r="F23" i="1"/>
  <c r="G23" i="1" s="1"/>
  <c r="K23" i="1" s="1"/>
  <c r="F29" i="1"/>
  <c r="G29" i="1" s="1"/>
  <c r="K29" i="1" s="1"/>
  <c r="F16" i="1"/>
  <c r="G16" i="1" s="1"/>
  <c r="K16" i="1" s="1"/>
  <c r="G22" i="10"/>
  <c r="H22" i="10"/>
  <c r="F24" i="1"/>
  <c r="G24" i="1" s="1"/>
  <c r="K24" i="1" s="1"/>
  <c r="F11" i="1"/>
  <c r="G11" i="1" s="1"/>
  <c r="K11" i="1" s="1"/>
  <c r="F14" i="1"/>
  <c r="G14" i="1" s="1"/>
  <c r="K14" i="1" s="1"/>
  <c r="F27" i="1"/>
  <c r="G27" i="1" s="1"/>
  <c r="K27" i="1" s="1"/>
  <c r="F17" i="1"/>
  <c r="G17" i="1" s="1"/>
  <c r="K17" i="1" s="1"/>
  <c r="F13" i="1"/>
  <c r="G13" i="1" s="1"/>
  <c r="K13" i="1" s="1"/>
  <c r="F20" i="1"/>
  <c r="G20" i="1" s="1"/>
  <c r="K20" i="1" s="1"/>
  <c r="F15" i="1"/>
  <c r="G15" i="1" s="1"/>
  <c r="K15" i="1" s="1"/>
  <c r="F21" i="1"/>
  <c r="G21" i="1" s="1"/>
  <c r="K21" i="1" s="1"/>
  <c r="F22" i="1"/>
  <c r="G22" i="1" s="1"/>
  <c r="K22" i="1" s="1"/>
  <c r="L21" i="1" l="1"/>
  <c r="L22" i="1"/>
  <c r="L19" i="1"/>
  <c r="L27" i="1"/>
  <c r="L20" i="1"/>
  <c r="L11" i="1"/>
  <c r="K30" i="1"/>
  <c r="L16" i="1"/>
  <c r="L28" i="1"/>
  <c r="O29" i="4"/>
  <c r="P29" i="4" s="1"/>
  <c r="O20" i="1"/>
  <c r="P20" i="1" s="1"/>
  <c r="L26" i="1"/>
  <c r="L12" i="1"/>
  <c r="L15" i="1"/>
  <c r="L13" i="1"/>
  <c r="L14" i="1"/>
  <c r="L24" i="1"/>
  <c r="L23" i="1"/>
  <c r="L29" i="1"/>
  <c r="L25" i="1"/>
  <c r="L17" i="1"/>
  <c r="L18" i="1"/>
  <c r="M22" i="1" l="1"/>
  <c r="S21" i="1"/>
  <c r="R22" i="1"/>
  <c r="S22" i="1"/>
  <c r="E29" i="9"/>
  <c r="E17" i="9"/>
  <c r="E16" i="9"/>
  <c r="E26" i="9"/>
  <c r="E4" i="9"/>
  <c r="E32" i="9"/>
  <c r="E21" i="9"/>
  <c r="E15" i="9"/>
  <c r="E8" i="9"/>
  <c r="E30" i="9"/>
  <c r="E13" i="9"/>
  <c r="E31" i="9"/>
  <c r="E23" i="9"/>
  <c r="F23" i="9" s="1"/>
  <c r="E7" i="9"/>
  <c r="M21" i="1"/>
  <c r="E22" i="9"/>
  <c r="E33" i="9"/>
  <c r="E24" i="9"/>
  <c r="E12" i="9"/>
  <c r="E3" i="9"/>
  <c r="R21" i="1"/>
  <c r="R23" i="1"/>
  <c r="S23" i="1"/>
  <c r="M23" i="1"/>
  <c r="M18" i="1"/>
  <c r="R18" i="1"/>
  <c r="S18" i="1"/>
  <c r="S14" i="1"/>
  <c r="R14" i="1"/>
  <c r="M14" i="1"/>
  <c r="M25" i="1"/>
  <c r="R25" i="1"/>
  <c r="S25" i="1"/>
  <c r="M26" i="1"/>
  <c r="R26" i="1"/>
  <c r="S26" i="1"/>
  <c r="M16" i="1"/>
  <c r="R16" i="1"/>
  <c r="S16" i="1"/>
  <c r="S28" i="1"/>
  <c r="R28" i="1"/>
  <c r="M28" i="1"/>
  <c r="S17" i="1"/>
  <c r="R17" i="1"/>
  <c r="M17" i="1"/>
  <c r="M24" i="1"/>
  <c r="S24" i="1"/>
  <c r="R24" i="1"/>
  <c r="R15" i="1"/>
  <c r="M15" i="1"/>
  <c r="S15" i="1"/>
  <c r="S11" i="1"/>
  <c r="M11" i="1"/>
  <c r="R11" i="1"/>
  <c r="L30" i="1"/>
  <c r="M27" i="1"/>
  <c r="R27" i="1"/>
  <c r="S27" i="1"/>
  <c r="S19" i="1"/>
  <c r="M19" i="1"/>
  <c r="R19" i="1"/>
  <c r="R29" i="1"/>
  <c r="S29" i="1"/>
  <c r="M29" i="1"/>
  <c r="M13" i="1"/>
  <c r="R13" i="1"/>
  <c r="S13" i="1"/>
  <c r="R20" i="1"/>
  <c r="S20" i="1"/>
  <c r="M20" i="1"/>
  <c r="M12" i="1"/>
  <c r="R12" i="1"/>
  <c r="S12" i="1"/>
  <c r="F13" i="9" l="1"/>
  <c r="S30" i="1"/>
  <c r="R30" i="1"/>
  <c r="F32" i="9"/>
  <c r="E34" i="9"/>
  <c r="I28" i="9" s="1"/>
  <c r="F33" i="9"/>
  <c r="M30" i="1"/>
  <c r="J23" i="9"/>
  <c r="G23" i="9"/>
  <c r="F29" i="9"/>
  <c r="G13" i="9" l="1"/>
  <c r="J13" i="9"/>
  <c r="I13" i="9"/>
  <c r="I3" i="9"/>
  <c r="I25" i="9"/>
  <c r="I15" i="9"/>
  <c r="I30" i="9"/>
  <c r="I31" i="9"/>
  <c r="I12" i="9"/>
  <c r="I16" i="9"/>
  <c r="I33" i="9"/>
  <c r="I29" i="9"/>
  <c r="I7" i="9"/>
  <c r="I8" i="9"/>
  <c r="I21" i="9"/>
  <c r="I26" i="9"/>
  <c r="I32" i="9"/>
  <c r="U30" i="1"/>
  <c r="I4" i="9"/>
  <c r="G29" i="9"/>
  <c r="J29" i="9"/>
  <c r="I24" i="9"/>
  <c r="I18" i="9"/>
  <c r="I20" i="9"/>
  <c r="I5" i="9"/>
  <c r="I11" i="9"/>
  <c r="I19" i="9"/>
  <c r="I6" i="9"/>
  <c r="I14" i="9"/>
  <c r="I2" i="9"/>
  <c r="I9" i="9"/>
  <c r="I10" i="9"/>
  <c r="I27" i="9"/>
  <c r="I22" i="9"/>
  <c r="I23" i="9"/>
  <c r="I17" i="9"/>
  <c r="J33" i="9"/>
  <c r="G33" i="9"/>
  <c r="J32" i="9"/>
  <c r="G32" i="9"/>
  <c r="I34" i="9" l="1"/>
  <c r="D35" i="10"/>
  <c r="F21" i="10"/>
  <c r="E28" i="4" s="1"/>
  <c r="F11" i="4" s="1"/>
  <c r="G11" i="4" s="1"/>
  <c r="K11" i="4" s="1"/>
  <c r="E37" i="4" l="1"/>
  <c r="F17" i="4"/>
  <c r="G17" i="4" s="1"/>
  <c r="K17" i="4" s="1"/>
  <c r="F34" i="4"/>
  <c r="G34" i="4" s="1"/>
  <c r="K34" i="4" s="1"/>
  <c r="F14" i="4"/>
  <c r="G14" i="4" s="1"/>
  <c r="K14" i="4" s="1"/>
  <c r="F33" i="4"/>
  <c r="G33" i="4" s="1"/>
  <c r="K33" i="4" s="1"/>
  <c r="F16" i="4"/>
  <c r="G16" i="4" s="1"/>
  <c r="K16" i="4" s="1"/>
  <c r="F13" i="4"/>
  <c r="G13" i="4" s="1"/>
  <c r="K13" i="4" s="1"/>
  <c r="F30" i="4"/>
  <c r="G30" i="4" s="1"/>
  <c r="K30" i="4" s="1"/>
  <c r="F36" i="4"/>
  <c r="G36" i="4" s="1"/>
  <c r="K36" i="4" s="1"/>
  <c r="F25" i="4"/>
  <c r="G25" i="4" s="1"/>
  <c r="K25" i="4" s="1"/>
  <c r="F26" i="4"/>
  <c r="G26" i="4" s="1"/>
  <c r="K26" i="4" s="1"/>
  <c r="F35" i="4"/>
  <c r="G35" i="4" s="1"/>
  <c r="K35" i="4" s="1"/>
  <c r="F23" i="4"/>
  <c r="G23" i="4" s="1"/>
  <c r="K23" i="4" s="1"/>
  <c r="F18" i="4"/>
  <c r="G18" i="4" s="1"/>
  <c r="K18" i="4" s="1"/>
  <c r="F22" i="4"/>
  <c r="G22" i="4" s="1"/>
  <c r="K22" i="4" s="1"/>
  <c r="F19" i="4"/>
  <c r="G19" i="4" s="1"/>
  <c r="K19" i="4" s="1"/>
  <c r="F32" i="4"/>
  <c r="G32" i="4" s="1"/>
  <c r="K32" i="4" s="1"/>
  <c r="F29" i="4"/>
  <c r="G29" i="4" s="1"/>
  <c r="K29" i="4" s="1"/>
  <c r="F20" i="4"/>
  <c r="G20" i="4" s="1"/>
  <c r="K20" i="4" s="1"/>
  <c r="F35" i="10"/>
  <c r="H21" i="10"/>
  <c r="H35" i="10" s="1"/>
  <c r="G21" i="10"/>
  <c r="F28" i="4"/>
  <c r="G28" i="4" s="1"/>
  <c r="K28" i="4" s="1"/>
  <c r="F24" i="4"/>
  <c r="G24" i="4" s="1"/>
  <c r="K24" i="4" s="1"/>
  <c r="F12" i="4"/>
  <c r="G12" i="4" s="1"/>
  <c r="K12" i="4" s="1"/>
  <c r="F27" i="4"/>
  <c r="G27" i="4" s="1"/>
  <c r="K27" i="4" s="1"/>
  <c r="F21" i="4"/>
  <c r="G21" i="4" s="1"/>
  <c r="K21" i="4" s="1"/>
  <c r="F15" i="4"/>
  <c r="G15" i="4" s="1"/>
  <c r="K15" i="4" s="1"/>
  <c r="F31" i="4"/>
  <c r="G31" i="4" s="1"/>
  <c r="K31" i="4" s="1"/>
  <c r="K37" i="4" l="1"/>
  <c r="L31" i="4"/>
  <c r="L21" i="4"/>
  <c r="L28" i="4"/>
  <c r="L20" i="4"/>
  <c r="L22" i="4"/>
  <c r="L26" i="4"/>
  <c r="L13" i="4"/>
  <c r="L34" i="4"/>
  <c r="L12" i="4"/>
  <c r="L23" i="4"/>
  <c r="L27" i="4"/>
  <c r="L29" i="4"/>
  <c r="L18" i="4"/>
  <c r="L25" i="4"/>
  <c r="L16" i="4"/>
  <c r="L17" i="4"/>
  <c r="L36" i="4"/>
  <c r="L32" i="4"/>
  <c r="L33" i="4"/>
  <c r="L15" i="4"/>
  <c r="L24" i="4"/>
  <c r="L19" i="4"/>
  <c r="L35" i="4"/>
  <c r="L30" i="4"/>
  <c r="L14" i="4"/>
  <c r="L11" i="4"/>
  <c r="O28" i="4"/>
  <c r="P28" i="4" s="1"/>
  <c r="G35" i="10"/>
  <c r="D3" i="9" l="1"/>
  <c r="F3" i="9" s="1"/>
  <c r="S31" i="4"/>
  <c r="D25" i="9"/>
  <c r="F25" i="9" s="1"/>
  <c r="R36" i="4"/>
  <c r="S36" i="4"/>
  <c r="R31" i="4"/>
  <c r="R11" i="4"/>
  <c r="M11" i="4"/>
  <c r="S19" i="4"/>
  <c r="R19" i="4"/>
  <c r="L37" i="4"/>
  <c r="S32" i="4"/>
  <c r="R32" i="4"/>
  <c r="S25" i="4"/>
  <c r="R25" i="4"/>
  <c r="S23" i="4"/>
  <c r="R23" i="4"/>
  <c r="R26" i="4"/>
  <c r="S26" i="4"/>
  <c r="R21" i="4"/>
  <c r="S21" i="4"/>
  <c r="S14" i="4"/>
  <c r="R14" i="4"/>
  <c r="S22" i="4"/>
  <c r="R22" i="4"/>
  <c r="S30" i="4"/>
  <c r="R30" i="4"/>
  <c r="S15" i="4"/>
  <c r="R15" i="4"/>
  <c r="S17" i="4"/>
  <c r="R17" i="4"/>
  <c r="S29" i="4"/>
  <c r="R29" i="4"/>
  <c r="S34" i="4"/>
  <c r="R34" i="4"/>
  <c r="S20" i="4"/>
  <c r="R20" i="4"/>
  <c r="S24" i="4"/>
  <c r="R24" i="4"/>
  <c r="S18" i="4"/>
  <c r="R18" i="4"/>
  <c r="S12" i="4"/>
  <c r="R12" i="4"/>
  <c r="S35" i="4"/>
  <c r="R35" i="4"/>
  <c r="S33" i="4"/>
  <c r="R33" i="4"/>
  <c r="S16" i="4"/>
  <c r="R16" i="4"/>
  <c r="S27" i="4"/>
  <c r="R27" i="4"/>
  <c r="S13" i="4"/>
  <c r="R13" i="4"/>
  <c r="S28" i="4"/>
  <c r="R28" i="4"/>
  <c r="D21" i="9"/>
  <c r="F21" i="9" s="1"/>
  <c r="D22" i="9"/>
  <c r="D30" i="9"/>
  <c r="F30" i="9" s="1"/>
  <c r="D27" i="9"/>
  <c r="M36" i="4"/>
  <c r="D31" i="9"/>
  <c r="F31" i="9" s="1"/>
  <c r="D26" i="9"/>
  <c r="D28" i="9"/>
  <c r="F28" i="9" s="1"/>
  <c r="M12" i="4"/>
  <c r="D20" i="9"/>
  <c r="M34" i="4"/>
  <c r="M32" i="4"/>
  <c r="D8" i="9"/>
  <c r="M17" i="4"/>
  <c r="M29" i="4"/>
  <c r="M31" i="4"/>
  <c r="D4" i="9"/>
  <c r="M13" i="4"/>
  <c r="M28" i="4"/>
  <c r="D5" i="9"/>
  <c r="M14" i="4"/>
  <c r="M24" i="4"/>
  <c r="D16" i="9"/>
  <c r="M27" i="4"/>
  <c r="D19" i="9"/>
  <c r="D7" i="9"/>
  <c r="M16" i="4"/>
  <c r="M23" i="4"/>
  <c r="D15" i="9"/>
  <c r="D18" i="9"/>
  <c r="M26" i="4"/>
  <c r="S11" i="4"/>
  <c r="D2" i="9"/>
  <c r="M30" i="4"/>
  <c r="M21" i="4"/>
  <c r="D12" i="9"/>
  <c r="M18" i="4"/>
  <c r="D9" i="9"/>
  <c r="D11" i="9"/>
  <c r="M20" i="4"/>
  <c r="D10" i="9"/>
  <c r="M19" i="4"/>
  <c r="M25" i="4"/>
  <c r="D17" i="9"/>
  <c r="M15" i="4"/>
  <c r="D6" i="9"/>
  <c r="M22" i="4"/>
  <c r="D14" i="9"/>
  <c r="M35" i="4"/>
  <c r="M33" i="4"/>
  <c r="G28" i="9" l="1"/>
  <c r="J28" i="9"/>
  <c r="J25" i="9"/>
  <c r="G25" i="9"/>
  <c r="G31" i="9"/>
  <c r="J31" i="9"/>
  <c r="J30" i="9"/>
  <c r="G30" i="9"/>
  <c r="G21" i="9"/>
  <c r="J21" i="9"/>
  <c r="F6" i="9"/>
  <c r="F27" i="9"/>
  <c r="M37" i="4"/>
  <c r="F15" i="9"/>
  <c r="F20" i="9"/>
  <c r="F26" i="9"/>
  <c r="F17" i="9"/>
  <c r="G3" i="9"/>
  <c r="J3" i="9"/>
  <c r="F10" i="9"/>
  <c r="F11" i="9"/>
  <c r="F22" i="9"/>
  <c r="D34" i="9"/>
  <c r="F2" i="9"/>
  <c r="F18" i="9"/>
  <c r="F19" i="9"/>
  <c r="F16" i="9"/>
  <c r="F5" i="9"/>
  <c r="F4" i="9"/>
  <c r="F24" i="9"/>
  <c r="J24" i="9" s="1"/>
  <c r="F8" i="9"/>
  <c r="F14" i="9"/>
  <c r="F9" i="9"/>
  <c r="F12" i="9"/>
  <c r="R37" i="4"/>
  <c r="S37" i="4"/>
  <c r="F7" i="9"/>
  <c r="U37" i="4" l="1"/>
  <c r="H28" i="9"/>
  <c r="H13" i="9"/>
  <c r="H20" i="9"/>
  <c r="H25" i="9"/>
  <c r="H19" i="9"/>
  <c r="H7" i="9"/>
  <c r="H12" i="9"/>
  <c r="H14" i="9"/>
  <c r="H5" i="9"/>
  <c r="H24" i="9"/>
  <c r="H9" i="9"/>
  <c r="H8" i="9"/>
  <c r="H4" i="9"/>
  <c r="H16" i="9"/>
  <c r="H18" i="9"/>
  <c r="G12" i="9"/>
  <c r="J12" i="9"/>
  <c r="G14" i="9"/>
  <c r="J14" i="9"/>
  <c r="G5" i="9"/>
  <c r="J5" i="9"/>
  <c r="J19" i="9"/>
  <c r="G19" i="9"/>
  <c r="H2" i="9"/>
  <c r="G11" i="9"/>
  <c r="J11" i="9"/>
  <c r="G26" i="9"/>
  <c r="J26" i="9"/>
  <c r="G27" i="9"/>
  <c r="J27" i="9"/>
  <c r="J18" i="9"/>
  <c r="G18" i="9"/>
  <c r="H30" i="9"/>
  <c r="H32" i="9"/>
  <c r="H33" i="9"/>
  <c r="H23" i="9"/>
  <c r="H31" i="9"/>
  <c r="H29" i="9"/>
  <c r="H21" i="9"/>
  <c r="H3" i="9"/>
  <c r="H11" i="9"/>
  <c r="H26" i="9"/>
  <c r="G15" i="9"/>
  <c r="J15" i="9"/>
  <c r="H27" i="9"/>
  <c r="G9" i="9"/>
  <c r="J9" i="9"/>
  <c r="J8" i="9"/>
  <c r="G8" i="9"/>
  <c r="G4" i="9"/>
  <c r="J4" i="9"/>
  <c r="G16" i="9"/>
  <c r="J16" i="9"/>
  <c r="H22" i="9"/>
  <c r="H10" i="9"/>
  <c r="H17" i="9"/>
  <c r="H15" i="9"/>
  <c r="H6" i="9"/>
  <c r="G7" i="9"/>
  <c r="J7" i="9"/>
  <c r="G24" i="9"/>
  <c r="G2" i="9"/>
  <c r="F34" i="9"/>
  <c r="J2" i="9"/>
  <c r="J22" i="9"/>
  <c r="G22" i="9"/>
  <c r="G10" i="9"/>
  <c r="J10" i="9"/>
  <c r="G17" i="9"/>
  <c r="J17" i="9"/>
  <c r="G20" i="9"/>
  <c r="J20" i="9"/>
  <c r="G6" i="9"/>
  <c r="J6" i="9"/>
  <c r="H34" i="9" l="1"/>
  <c r="G34" i="9"/>
</calcChain>
</file>

<file path=xl/sharedStrings.xml><?xml version="1.0" encoding="utf-8"?>
<sst xmlns="http://schemas.openxmlformats.org/spreadsheetml/2006/main" count="457" uniqueCount="193">
  <si>
    <t>FY16</t>
  </si>
  <si>
    <t>FY17</t>
  </si>
  <si>
    <t>RELATIVE PERFORMANCE</t>
  </si>
  <si>
    <t>SIZE ADJUSTMENT</t>
  </si>
  <si>
    <t>PERFORMANCE ADJUSTMENT</t>
  </si>
  <si>
    <t>FINAL ADJUSTMENT</t>
  </si>
  <si>
    <t>[Reported value for FY]</t>
  </si>
  <si>
    <t>HOSPITAL</t>
  </si>
  <si>
    <t>EARNED DISTRIBUTION AMOUNT</t>
  </si>
  <si>
    <t>A / E RATIO</t>
  </si>
  <si>
    <t>(A)</t>
  </si>
  <si>
    <t>(B)</t>
  </si>
  <si>
    <t>(D)</t>
  </si>
  <si>
    <t>(C)</t>
  </si>
  <si>
    <t>(F)</t>
  </si>
  <si>
    <t>(G)</t>
  </si>
  <si>
    <t>(H)</t>
  </si>
  <si>
    <t>(I)</t>
  </si>
  <si>
    <t>(E)</t>
  </si>
  <si>
    <t xml:space="preserve">Prepared by: </t>
  </si>
  <si>
    <t xml:space="preserve">* NOTES: </t>
  </si>
  <si>
    <r>
      <rPr>
        <b/>
        <sz val="10"/>
        <color theme="1"/>
        <rFont val="Gill Sans MT"/>
        <family val="2"/>
      </rPr>
      <t>H.B. 1, 84th Legislature, Regular Session, 2015, Article II, Special Provisions Sec. 59(b). 
Contingency for HB 7 and Safety-Net Hospitals 
b.</t>
    </r>
    <r>
      <rPr>
        <sz val="10"/>
        <color theme="1"/>
        <rFont val="Gill Sans MT"/>
        <family val="2"/>
      </rPr>
      <t xml:space="preserve"> </t>
    </r>
    <r>
      <rPr>
        <i/>
        <sz val="10"/>
        <color theme="1"/>
        <rFont val="Gill Sans MT"/>
        <family val="2"/>
      </rPr>
      <t>HHSC shall expend $64,347,000 in interagency contracts, $150,378,593 in All Funds in fiscal year 2016 and $64,346,999 in interagency contracts, $148,641,716 in All Funds in fiscal year 2017 to provide increases in Medicaid inpatient provider rates. The Health and Human Services Commission shall develop a methodology to implement such increases to target the state's safety-net hospitals, including those hospitals that treat high percentages of Medicaid and low income uninsured patients. Total reimbursement for each hospital shall not exceed its hospital specific limit. However, HHSC shall expend ten percent of these funds to provide additional increases to safety-net hospitals above which exceed existing quality metrics, which may result in exceeding the hospital specific limit. To the extent possible, HHSC shall ensure, that any funds included in Medicaid managed care capitation rates are distributed by the managed care organizations to the hospitals. The expenditure of funds identified in this rider that are not used for targeted increases to Medicaid inpatient provider rates shall require prior written approval by the Legislative Budget Board.</t>
    </r>
  </si>
  <si>
    <t>Amount After Base</t>
  </si>
  <si>
    <t>Hospital</t>
  </si>
  <si>
    <t>PPC Amount</t>
  </si>
  <si>
    <t>PPR Amount</t>
  </si>
  <si>
    <t>TOTAL</t>
  </si>
  <si>
    <t>MOTHER FRANCES HOSPITAL REGIONAL HEALTHCARE CENTER-MOTHER FRANCES HOSPITAL</t>
  </si>
  <si>
    <t>MEMORIAL HERMANN HOSPITAL SYSTEM-MHHS HERMANN HOSPITAL</t>
  </si>
  <si>
    <t>COLUMBIA HOSPITAL MEDICAL CITY DALLAS, SUBSIDIARY-MEDICAL CITY DALLAS HOSPITAL</t>
  </si>
  <si>
    <t>SAINT JOSEPH REGIONAL HEALTH CENTER</t>
  </si>
  <si>
    <t>CHRISTUS SANTA ROSA HEALTH CARE CORPORATION-CHRISTUS SANTA ROSA</t>
  </si>
  <si>
    <t>BAYLOR ALL SAINTS MEDICAL CENTER</t>
  </si>
  <si>
    <t>EAST TEXAS MEDICAL CENTER ATHENS</t>
  </si>
  <si>
    <t>MEMORIAL HERMANN HOSPITAL SYSTEM-MHHS THE WOODLANDS  HOSPITAL</t>
  </si>
  <si>
    <t>LAREDO MEDICAL CENTER</t>
  </si>
  <si>
    <t>LAS PALMAS MEDICAL CENTER</t>
  </si>
  <si>
    <t>METHODIST MEDICAL CENTER-METHODIST DALLAS MEDICAL CENTER</t>
  </si>
  <si>
    <t>COOK CHILDREN'S MEDICAL CENTER-</t>
  </si>
  <si>
    <t>BAY AREA HEALTHCARE GROUP, LTD-CORPUS CHRISTI MEDICAL CENTER</t>
  </si>
  <si>
    <t>BRIM HEALTHCARE OF TEXAS LLC-WADLEY REGIONAL MEDICAL CENTER</t>
  </si>
  <si>
    <t>CHILDRENS MEDICAL CENTER OF DALLAS-CHILDRENS MEDICAL CENTER</t>
  </si>
  <si>
    <t>KNAPP MEDICAL CENTER</t>
  </si>
  <si>
    <t>LAREDO REGIONAL MEDICAL CENTER LP-DOCTORS HOSPITAL OF LAREDO</t>
  </si>
  <si>
    <t>BAPTIST HOSPITALS OF SOUTHEAST TEXAS-MEMORIAL HERMANN BAPTIST BEAUMONT HOSPITAL</t>
  </si>
  <si>
    <t>THE MEDICAL CENTER OF SOUTHEAST TEXAS LP-</t>
  </si>
  <si>
    <t>TPI</t>
  </si>
  <si>
    <t>NPI</t>
  </si>
  <si>
    <t>VHS BROWNSVILLE HOSPITAL COMPANY LLC-VALLEY BAPTIST MEDICAL CENTER BROWNSVILLE</t>
  </si>
  <si>
    <t>METHODISTS CHILDRENS HOSPITAL-COVENANT CHILDRENS HOSPITAL</t>
  </si>
  <si>
    <t>METROPLEX ADVENTIST HOSPITAL INC-METROPLEX HOSPITAL</t>
  </si>
  <si>
    <t>WALKER COUNTY HOSPITAL CORPORATION-HUNTSVILLE MEMORIAL HOSPITAL</t>
  </si>
  <si>
    <t>% relative to PPR pool</t>
  </si>
  <si>
    <t>% relative to PPC pool</t>
  </si>
  <si>
    <t>FFS</t>
  </si>
  <si>
    <t>MCO</t>
  </si>
  <si>
    <t>INPATIENT CLAIMS PAID</t>
  </si>
  <si>
    <t>MCO Distribution %</t>
  </si>
  <si>
    <t>FFS Distribution %</t>
  </si>
  <si>
    <t>(J)</t>
  </si>
  <si>
    <t>TOTALS / AVERAGES</t>
  </si>
  <si>
    <t xml:space="preserve">I N C E N T I V E   C O M P U T A T I O N  </t>
  </si>
  <si>
    <t>S I Z E  F A C T O R S</t>
  </si>
  <si>
    <t xml:space="preserve">P E R F O R M A N C E  F A C T O R S </t>
  </si>
  <si>
    <t>SIZE CAP</t>
  </si>
  <si>
    <t>[Reported value for SFY]</t>
  </si>
  <si>
    <t>(F) = 1.00 - (E)</t>
  </si>
  <si>
    <t xml:space="preserve">(H) = (D) * (G) </t>
  </si>
  <si>
    <t>(J) = (I) / (B)</t>
  </si>
  <si>
    <t>Amount After Base:</t>
  </si>
  <si>
    <t>ADVENTIST HEALTH SYSTEM SUNBELT INC-CENTRAL TEXAS MEDICAL CENTER</t>
  </si>
  <si>
    <t>► non-rural</t>
  </si>
  <si>
    <t>► non-state-owned</t>
  </si>
  <si>
    <t>► qualified for the Medicaid Disproportionate Share Hospital (DSH) program</t>
  </si>
  <si>
    <t xml:space="preserve"> S I Z E   F A C T O R S </t>
  </si>
  <si>
    <t>IF (C) IS &gt;2.00, then adjustment is capped at 2.00</t>
  </si>
  <si>
    <t xml:space="preserve">P E R F O R M A N C E   F A C T O R S </t>
  </si>
  <si>
    <t>I N C E N T I V E   C O M P U T A T I O N</t>
  </si>
  <si>
    <t>(H) = (D) * (G)</t>
  </si>
  <si>
    <t>(I) = amount after base * (H / sum of all H) + A</t>
  </si>
  <si>
    <t>FFS $</t>
  </si>
  <si>
    <t>MCO $</t>
  </si>
  <si>
    <t>NORTHWEST HEALTH CARE SYSTEM-NORTHWEST TEXAS HOSPITAL</t>
  </si>
  <si>
    <t>HOSPITAL NAME</t>
  </si>
  <si>
    <t>TOTAL as a % of inpatient claims</t>
  </si>
  <si>
    <t>1821004151</t>
  </si>
  <si>
    <t>020844903</t>
  </si>
  <si>
    <t>CHILDRENS HOSPITAL OF SAN ANTONIO - CHRISTUS SANTA ROSA HEALTH CARE CORPORATION</t>
  </si>
  <si>
    <t>1023013448</t>
  </si>
  <si>
    <t>135237906</t>
  </si>
  <si>
    <t>UNITED REGIONAL HEALTHCARE</t>
  </si>
  <si>
    <t>1467442418</t>
  </si>
  <si>
    <t>137245009</t>
  </si>
  <si>
    <t>1336172105</t>
  </si>
  <si>
    <t>112677302</t>
  </si>
  <si>
    <t>TEXAS HEALTH HARRIS METHODIST HOSPITAL FORT WORTH</t>
  </si>
  <si>
    <t>121789503</t>
  </si>
  <si>
    <t>094148602</t>
  </si>
  <si>
    <t>020973601</t>
  </si>
  <si>
    <t>135036506</t>
  </si>
  <si>
    <t>207311601</t>
  </si>
  <si>
    <t>138910807</t>
  </si>
  <si>
    <t>020844901</t>
  </si>
  <si>
    <t>020943901</t>
  </si>
  <si>
    <t>021184901</t>
  </si>
  <si>
    <t>139173209</t>
  </si>
  <si>
    <t>135035706</t>
  </si>
  <si>
    <t>162033801</t>
  </si>
  <si>
    <t>094186602</t>
  </si>
  <si>
    <t>094109802</t>
  </si>
  <si>
    <t>137805107</t>
  </si>
  <si>
    <t>020834001</t>
  </si>
  <si>
    <t>135032405</t>
  </si>
  <si>
    <t>127319504</t>
  </si>
  <si>
    <t>094108002</t>
  </si>
  <si>
    <t>127267603</t>
  </si>
  <si>
    <t>163925401</t>
  </si>
  <si>
    <t>1821009242</t>
  </si>
  <si>
    <t>1093744187</t>
  </si>
  <si>
    <t>1508810573</t>
  </si>
  <si>
    <t>1669472387</t>
  </si>
  <si>
    <t>1114903523</t>
  </si>
  <si>
    <t>1194743013</t>
  </si>
  <si>
    <t>1194787218</t>
  </si>
  <si>
    <t>1689628984</t>
  </si>
  <si>
    <t>1891765178</t>
  </si>
  <si>
    <t>1356320873</t>
  </si>
  <si>
    <t>1861488579</t>
  </si>
  <si>
    <t>1548232044</t>
  </si>
  <si>
    <t>1396731105</t>
  </si>
  <si>
    <t>1770536120</t>
  </si>
  <si>
    <t>1982666111</t>
  </si>
  <si>
    <t>1730132234</t>
  </si>
  <si>
    <t>1528027786</t>
  </si>
  <si>
    <t>1437171568</t>
  </si>
  <si>
    <t>1679578439</t>
  </si>
  <si>
    <t>1942294939</t>
  </si>
  <si>
    <t>1861467573</t>
  </si>
  <si>
    <t>094119702</t>
  </si>
  <si>
    <t>294543801</t>
  </si>
  <si>
    <t>189791001</t>
  </si>
  <si>
    <t>1629089966</t>
  </si>
  <si>
    <t>1184911877</t>
  </si>
  <si>
    <t>1144225699</t>
  </si>
  <si>
    <t>[Relative performance (F) compared to the average relative performance of this group; average = 0.34]</t>
  </si>
  <si>
    <t>COOK CHILDREN'S MEDICAL CENTER</t>
  </si>
  <si>
    <t>DOCTORS HOSPITAL 1997 LP-DOCTORS HOSPITAL PARKWAY TIDWELL</t>
  </si>
  <si>
    <t>MIDLAND MEMORIAL HOSPITAL</t>
  </si>
  <si>
    <t>ABILENE REGIONAL MEDICAL CENTER</t>
  </si>
  <si>
    <t>TEXAS CHILDRENS HOSPITAL</t>
  </si>
  <si>
    <t>EXPLANATORY NOTES &gt;</t>
  </si>
  <si>
    <t>OVERALL SIZE: 
TOTAL PAID FFS &amp; MCO MEDICAID</t>
  </si>
  <si>
    <t>[Size (B) compared to the average size of this group; average = $51,005,858]</t>
  </si>
  <si>
    <t>[Relative performance (F) compared to the average relative performance of this group; average = 0.22]</t>
  </si>
  <si>
    <t>TEXAS HEALTH AND HUMAN SERVICES COMMISSION, Healthcare Quality Analytics, 14 JUL 16.</t>
  </si>
  <si>
    <t>BASE 
ALLOCATION</t>
  </si>
  <si>
    <t>Amount per hospital 
= [(34.5% * Total Amount) / 
number of hospitals]</t>
  </si>
  <si>
    <t>Total Amount:</t>
  </si>
  <si>
    <t>Amount per hospital 
= [(25.2% * Total Amount) / 
number of hospitals]</t>
  </si>
  <si>
    <t xml:space="preserve">Total Amount </t>
  </si>
  <si>
    <t>[Size (B) compared to the average size of this group; average = $22,306,996]</t>
  </si>
  <si>
    <t>TEXAS HEALTH AND HUMAN SERVICES COMMISSION</t>
  </si>
  <si>
    <t>PER</t>
  </si>
  <si>
    <t>H.B. 1, 84TH LEGISLATURE, REGULAR SESSION, 2015, ARTICLE II, SPECIAL PROVISIONS SEC. 59(B).</t>
  </si>
  <si>
    <t>CONTINGENCY FOR HB 7 AND SAFETY-NET HOSPITALS</t>
  </si>
  <si>
    <t>— METHODOLOGY, CALCULATIONS AND AWARD AMOUNTS —</t>
  </si>
  <si>
    <t>01 SEPTEMBER 2016</t>
  </si>
  <si>
    <t xml:space="preserve">Pursuant to H.B. 1, 84th Legislature, Regular Session, 2015, Article II, Special Provisions Sec. 59(b). Please see additional notes on the last page. </t>
  </si>
  <si>
    <t xml:space="preserve">Pursuant to H.B. 1, 84th Legislature, Regular Session, 2015, Article II, Special Provisions Sec. 59(b). </t>
  </si>
  <si>
    <t>► acute care</t>
  </si>
  <si>
    <t xml:space="preserve">► It reported sufficient utilization to not be categorized as a low volume hospital, as low volume hospitals are ineligible for PPE-based penalties. </t>
  </si>
  <si>
    <t>► Its respective PPE A / E ratio is &lt; 0.91 (i.e., 10% less than the state norm). PPEs used for these calculations are Potentially Preventable Readmissions (PPR) and Potentially Preventable Complications (PPC).</t>
  </si>
  <si>
    <t xml:space="preserve">► It did not receive either a PPR or a PPC penalty for same data period. </t>
  </si>
  <si>
    <t xml:space="preserve">► Calculations were processed via our software's specifications; as such, due to rounding protocols, etc., other calculations methods may not match exactly. </t>
  </si>
  <si>
    <t>1. SAFETY NET HOSPITAL DETERMINATION — HHSC Rate Analysis determines what constitutes a safety-net hospital. A list produced in July 2015 yielded 85 facilities. These hospitals are:</t>
  </si>
  <si>
    <r>
      <rPr>
        <b/>
        <sz val="31"/>
        <color theme="0"/>
        <rFont val="Gill Sans MT"/>
        <family val="2"/>
      </rPr>
      <t>•</t>
    </r>
    <r>
      <rPr>
        <sz val="31"/>
        <color theme="0"/>
        <rFont val="Gill Sans MT"/>
        <family val="2"/>
      </rPr>
      <t xml:space="preserve">   HOSPITAL QUALITY AWARD PROGRAM   </t>
    </r>
    <r>
      <rPr>
        <b/>
        <sz val="31"/>
        <color theme="0"/>
        <rFont val="Gill Sans MT"/>
        <family val="2"/>
      </rPr>
      <t>•</t>
    </r>
  </si>
  <si>
    <t>SFY 2014 DATA USED FOR SFY 2016 AWARD PAYMENTS</t>
  </si>
  <si>
    <r>
      <t xml:space="preserve">SFY 2014 :: METHODOLOGY FOR SEC. 59 RIDER, SAFETY NET HOSPITAL QUALITY AWARD — PPC </t>
    </r>
    <r>
      <rPr>
        <vertAlign val="superscript"/>
        <sz val="33"/>
        <color theme="1"/>
        <rFont val="Gill Sans MT"/>
        <family val="2"/>
      </rPr>
      <t>*</t>
    </r>
  </si>
  <si>
    <r>
      <t xml:space="preserve">SFY 2014 :: METHODOLOGY FOR SEC. 59 RIDER, SAFETY NET HOSPITAL QUALITY AWARD — PPR </t>
    </r>
    <r>
      <rPr>
        <vertAlign val="superscript"/>
        <sz val="33"/>
        <color theme="1"/>
        <rFont val="Gill Sans MT"/>
        <family val="2"/>
      </rPr>
      <t>*</t>
    </r>
  </si>
  <si>
    <r>
      <t xml:space="preserve">SFY 16 </t>
    </r>
    <r>
      <rPr>
        <b/>
        <sz val="13"/>
        <rFont val="Gill Sans MT"/>
        <family val="2"/>
      </rPr>
      <t>PPC</t>
    </r>
    <r>
      <rPr>
        <i/>
        <sz val="13"/>
        <rFont val="Gill Sans MT"/>
        <family val="2"/>
      </rPr>
      <t xml:space="preserve"> Award 
(Adjust as needed):</t>
    </r>
  </si>
  <si>
    <r>
      <t>► PPC AWARD RECIPIENTS: (</t>
    </r>
    <r>
      <rPr>
        <u/>
        <sz val="13"/>
        <color theme="1"/>
        <rFont val="Gill Sans MT"/>
        <family val="2"/>
      </rPr>
      <t>n =26 hospitals</t>
    </r>
    <r>
      <rPr>
        <sz val="13"/>
        <color theme="1"/>
        <rFont val="Gill Sans MT"/>
        <family val="2"/>
      </rPr>
      <t>)</t>
    </r>
  </si>
  <si>
    <t>EARNED AWARD AMOUNT</t>
  </si>
  <si>
    <t>EARNED AWARD AMOUNT AS PERCENT OF TOTAL PAID FFS &amp; MCO MEDICAID</t>
  </si>
  <si>
    <r>
      <t xml:space="preserve">SFY 16 </t>
    </r>
    <r>
      <rPr>
        <b/>
        <sz val="13"/>
        <rFont val="Gill Sans MT"/>
        <family val="2"/>
      </rPr>
      <t>PPR</t>
    </r>
    <r>
      <rPr>
        <i/>
        <sz val="13"/>
        <rFont val="Gill Sans MT"/>
        <family val="2"/>
      </rPr>
      <t xml:space="preserve"> Award 
(Adjust as needed):</t>
    </r>
  </si>
  <si>
    <r>
      <t>► PPR AWARD RECIPIENTS (</t>
    </r>
    <r>
      <rPr>
        <u/>
        <sz val="13"/>
        <color theme="1"/>
        <rFont val="Gill Sans MT"/>
        <family val="2"/>
      </rPr>
      <t>n = 19 hospitals</t>
    </r>
    <r>
      <rPr>
        <sz val="13"/>
        <color theme="1"/>
        <rFont val="Gill Sans MT"/>
        <family val="2"/>
      </rPr>
      <t>)</t>
    </r>
  </si>
  <si>
    <t>% of Total Award Pool</t>
  </si>
  <si>
    <t>NOTES :: METHODOLOGY FOR SEC. 59 SPECIAL PROVISIONS RIDER, SAFETY NET HOSPITAL QUALITY AWARD — PPC &amp; PPR *</t>
  </si>
  <si>
    <t>► Hospitals' PPC Present On Admission (POA) quality check scores were not used to determine SFY17 award eligibility; however, POA scores may be used to determine SFY18 award eligibility.</t>
  </si>
  <si>
    <t>► Each recipient hospital receives a minimum base award amount not to exceed $100,000, with further adjustments made to cap the influence of size.</t>
  </si>
  <si>
    <t>► Additional award amounts are based on a combination of performance on the respective A / E metric and adjustments made for overall paid inpatient volume.</t>
  </si>
  <si>
    <t>Award Amount (10%)</t>
  </si>
  <si>
    <t xml:space="preserve">2. AWARD ELIGIBILITY CRITERIA — Using hospital-based Potentially Preventable Event (PPE) data, HHSC Quality Oversight determines which safety-net hospitals are eligible for awards if: </t>
  </si>
  <si>
    <t xml:space="preserve">3. COMPUTATIONAL PROCESSING TO DETERMINE AWARD AMOUNTS — Recipient hospitals' award amounts are a product of a base amount combined with amounts for performance and volume: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</si>
</sst>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_(&quot;$&quot;* #,##0_);_(&quot;$&quot;* \(#,##0\);_(&quot;$&quot;* &quot;-&quot;??_);_(@_)"/>
    <numFmt numFmtId="165" formatCode="#.00"/>
    <numFmt numFmtId="166" formatCode="0.0%"/>
    <numFmt numFmtId="167" formatCode="&quot;$&quot;#,##0"/>
    <numFmt numFmtId="168" formatCode="&quot;$&quot;#,##0.00"/>
  </numFmts>
  <fonts count="65">
    <font>
      <sz val="10"/>
      <color theme="1"/>
      <name val="Arial"/>
      <family val="2"/>
    </font>
    <font>
      <sz val="11"/>
      <color theme="1"/>
      <name val="Gill Sans MT"/>
      <family val="2"/>
    </font>
    <font>
      <sz val="10"/>
      <color theme="1"/>
      <name val="Arial"/>
      <family val="2"/>
    </font>
    <font>
      <sz val="10"/>
      <color theme="1"/>
      <name val="Gill Sans MT"/>
      <family val="2"/>
    </font>
    <font>
      <i/>
      <sz val="10"/>
      <color theme="1"/>
      <name val="Gill Sans MT"/>
      <family val="2"/>
    </font>
    <font>
      <b/>
      <sz val="10"/>
      <color theme="1"/>
      <name val="Gill Sans MT"/>
      <family val="2"/>
    </font>
    <font>
      <i/>
      <sz val="9"/>
      <color theme="1"/>
      <name val="Gill Sans MT"/>
      <family val="2"/>
    </font>
    <font>
      <sz val="13"/>
      <color theme="1"/>
      <name val="Gill Sans MT"/>
      <family val="2"/>
    </font>
    <font>
      <sz val="9"/>
      <color theme="1"/>
      <name val="Gill Sans MT"/>
      <family val="2"/>
    </font>
    <font>
      <sz val="17"/>
      <color theme="1"/>
      <name val="Gill Sans MT"/>
      <family val="2"/>
    </font>
    <font>
      <sz val="11"/>
      <name val="Gill Sans MT"/>
      <family val="2"/>
    </font>
    <font>
      <sz val="11"/>
      <color theme="1"/>
      <name val="Gill Sans MT"/>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indexed="8"/>
      <name val="Calibri"/>
      <family val="2"/>
    </font>
    <font>
      <b/>
      <sz val="11"/>
      <color rgb="FF3F3F3F"/>
      <name val="Calibri"/>
      <family val="2"/>
      <scheme val="minor"/>
    </font>
    <font>
      <b/>
      <sz val="11"/>
      <color theme="1"/>
      <name val="Calibri"/>
      <family val="2"/>
      <scheme val="minor"/>
    </font>
    <font>
      <sz val="11"/>
      <color rgb="FFFF0000"/>
      <name val="Calibri"/>
      <family val="2"/>
      <scheme val="minor"/>
    </font>
    <font>
      <sz val="12"/>
      <color theme="1"/>
      <name val="Gill Sans MT"/>
      <family val="2"/>
    </font>
    <font>
      <b/>
      <sz val="11"/>
      <color theme="1"/>
      <name val="Gill Sans MT"/>
      <family val="2"/>
    </font>
    <font>
      <sz val="21"/>
      <color theme="1"/>
      <name val="Gill Sans MT"/>
      <family val="2"/>
    </font>
    <font>
      <sz val="11"/>
      <color indexed="8"/>
      <name val="Gill Sans MT"/>
      <family val="2"/>
    </font>
    <font>
      <sz val="27"/>
      <color theme="1"/>
      <name val="Gill Sans MT"/>
      <family val="2"/>
    </font>
    <font>
      <sz val="13"/>
      <name val="Gill Sans MT"/>
      <family val="2"/>
    </font>
    <font>
      <i/>
      <sz val="13"/>
      <name val="Gill Sans MT"/>
      <family val="2"/>
    </font>
    <font>
      <b/>
      <sz val="13"/>
      <name val="Gill Sans MT"/>
      <family val="2"/>
    </font>
    <font>
      <b/>
      <sz val="13"/>
      <color theme="1"/>
      <name val="Gill Sans MT"/>
      <family val="2"/>
    </font>
    <font>
      <u/>
      <sz val="13"/>
      <color theme="1"/>
      <name val="Gill Sans MT"/>
      <family val="2"/>
    </font>
    <font>
      <sz val="13"/>
      <color theme="0"/>
      <name val="Gill Sans MT"/>
      <family val="2"/>
    </font>
    <font>
      <i/>
      <sz val="13"/>
      <color theme="1"/>
      <name val="Gill Sans MT"/>
      <family val="2"/>
    </font>
    <font>
      <i/>
      <sz val="11"/>
      <color theme="1"/>
      <name val="Gill Sans MT"/>
      <family val="2"/>
    </font>
    <font>
      <b/>
      <sz val="13"/>
      <color theme="0"/>
      <name val="Gill Sans MT"/>
      <family val="2"/>
    </font>
    <font>
      <sz val="15"/>
      <color theme="1"/>
      <name val="Gill Sans MT"/>
      <family val="2"/>
    </font>
    <font>
      <sz val="14"/>
      <color theme="1"/>
      <name val="Gill Sans MT"/>
      <family val="2"/>
    </font>
    <font>
      <sz val="12"/>
      <name val="Gill Sans MT"/>
      <family val="2"/>
    </font>
    <font>
      <i/>
      <sz val="12"/>
      <color theme="1"/>
      <name val="Gill Sans MT"/>
      <family val="2"/>
    </font>
    <font>
      <sz val="14"/>
      <color indexed="8"/>
      <name val="Gill Sans MT"/>
      <family val="2"/>
    </font>
    <font>
      <sz val="12"/>
      <color indexed="8"/>
      <name val="Gill Sans MT"/>
      <family val="2"/>
    </font>
    <font>
      <sz val="13"/>
      <color indexed="8"/>
      <name val="Gill Sans MT"/>
      <family val="2"/>
    </font>
    <font>
      <sz val="10"/>
      <color indexed="8"/>
      <name val="Arial, Helvetica, sans-serif"/>
    </font>
    <font>
      <i/>
      <sz val="14"/>
      <color theme="1"/>
      <name val="Gill Sans MT"/>
      <family val="2"/>
    </font>
    <font>
      <i/>
      <sz val="14"/>
      <name val="Gill Sans MT"/>
      <family val="2"/>
    </font>
    <font>
      <b/>
      <sz val="18"/>
      <color theme="3"/>
      <name val="Cambria"/>
      <family val="2"/>
      <scheme val="major"/>
    </font>
    <font>
      <sz val="14"/>
      <name val="Gill Sans MT"/>
      <family val="2"/>
    </font>
    <font>
      <sz val="10"/>
      <name val="Arial"/>
      <family val="2"/>
    </font>
    <font>
      <sz val="25"/>
      <color theme="1"/>
      <name val="Gill Sans MT"/>
      <family val="2"/>
    </font>
    <font>
      <sz val="41"/>
      <color theme="1"/>
      <name val="Gill Sans MT"/>
      <family val="2"/>
    </font>
    <font>
      <sz val="31"/>
      <color theme="0"/>
      <name val="Gill Sans MT"/>
      <family val="2"/>
    </font>
    <font>
      <b/>
      <sz val="31"/>
      <color theme="0"/>
      <name val="Gill Sans MT"/>
      <family val="2"/>
    </font>
    <font>
      <i/>
      <sz val="25"/>
      <color theme="1"/>
      <name val="Gill Sans MT"/>
      <family val="2"/>
    </font>
    <font>
      <i/>
      <sz val="17"/>
      <color theme="1"/>
      <name val="Gill Sans MT"/>
      <family val="2"/>
    </font>
    <font>
      <b/>
      <sz val="25"/>
      <color theme="0"/>
      <name val="Gill Sans MT"/>
      <family val="2"/>
    </font>
    <font>
      <sz val="33"/>
      <color theme="1"/>
      <name val="Gill Sans MT"/>
      <family val="2"/>
    </font>
    <font>
      <vertAlign val="superscript"/>
      <sz val="33"/>
      <color theme="1"/>
      <name val="Gill Sans MT"/>
      <family val="2"/>
    </font>
  </fonts>
  <fills count="39">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1"/>
        <bgColor indexed="64"/>
      </patternFill>
    </fill>
  </fills>
  <borders count="6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style="thin">
        <color rgb="FFCCCCCC"/>
      </top>
      <bottom style="thin">
        <color rgb="FFCCCCCC"/>
      </bottom>
      <diagonal/>
    </border>
    <border>
      <left style="thick">
        <color theme="0"/>
      </left>
      <right style="thin">
        <color theme="0" tint="-0.34998626667073579"/>
      </right>
      <top style="thin">
        <color theme="0" tint="-0.34998626667073579"/>
      </top>
      <bottom/>
      <diagonal/>
    </border>
    <border>
      <left style="thin">
        <color theme="0" tint="-0.34998626667073579"/>
      </left>
      <right style="thick">
        <color theme="0"/>
      </right>
      <top style="thin">
        <color theme="0" tint="-0.34998626667073579"/>
      </top>
      <bottom/>
      <diagonal/>
    </border>
    <border>
      <left style="thin">
        <color indexed="8"/>
      </left>
      <right style="thin">
        <color indexed="8"/>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right style="double">
        <color theme="0" tint="-0.24994659260841701"/>
      </right>
      <top style="double">
        <color theme="0" tint="-0.24994659260841701"/>
      </top>
      <bottom/>
      <diagonal/>
    </border>
    <border>
      <left style="double">
        <color theme="0" tint="-0.24994659260841701"/>
      </left>
      <right/>
      <top/>
      <bottom/>
      <diagonal/>
    </border>
    <border>
      <left/>
      <right style="double">
        <color theme="0" tint="-0.24994659260841701"/>
      </right>
      <top/>
      <bottom/>
      <diagonal/>
    </border>
    <border>
      <left style="double">
        <color theme="0" tint="-0.24994659260841701"/>
      </left>
      <right/>
      <top/>
      <bottom style="double">
        <color theme="0" tint="-0.24994659260841701"/>
      </bottom>
      <diagonal/>
    </border>
    <border>
      <left/>
      <right/>
      <top/>
      <bottom style="double">
        <color theme="0" tint="-0.24994659260841701"/>
      </bottom>
      <diagonal/>
    </border>
    <border>
      <left/>
      <right style="double">
        <color theme="0" tint="-0.24994659260841701"/>
      </right>
      <top/>
      <bottom style="double">
        <color theme="0" tint="-0.24994659260841701"/>
      </bottom>
      <diagonal/>
    </border>
    <border>
      <left style="thin">
        <color indexed="8"/>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s>
  <cellStyleXfs count="50">
    <xf numFmtId="0" fontId="0" fillId="0" borderId="0"/>
    <xf numFmtId="44" fontId="2" fillId="0" borderId="0" applyFont="0" applyFill="0" applyBorder="0" applyAlignment="0" applyProtection="0"/>
    <xf numFmtId="9" fontId="2" fillId="0" borderId="0" applyFont="0" applyFill="0" applyBorder="0" applyAlignment="0" applyProtection="0"/>
    <xf numFmtId="0" fontId="12" fillId="0" borderId="0"/>
    <xf numFmtId="0" fontId="12" fillId="0" borderId="0"/>
    <xf numFmtId="0" fontId="12" fillId="12"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4"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4" fillId="5" borderId="0" applyNumberFormat="0" applyBorder="0" applyAlignment="0" applyProtection="0"/>
    <xf numFmtId="0" fontId="15" fillId="8" borderId="17" applyNumberFormat="0" applyAlignment="0" applyProtection="0"/>
    <xf numFmtId="0" fontId="16" fillId="9" borderId="20" applyNumberFormat="0" applyAlignment="0" applyProtection="0"/>
    <xf numFmtId="44" fontId="12"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14" applyNumberFormat="0" applyFill="0" applyAlignment="0" applyProtection="0"/>
    <xf numFmtId="0" fontId="20" fillId="0" borderId="15" applyNumberFormat="0" applyFill="0" applyAlignment="0" applyProtection="0"/>
    <xf numFmtId="0" fontId="21" fillId="0" borderId="16" applyNumberFormat="0" applyFill="0" applyAlignment="0" applyProtection="0"/>
    <xf numFmtId="0" fontId="21" fillId="0" borderId="0" applyNumberFormat="0" applyFill="0" applyBorder="0" applyAlignment="0" applyProtection="0"/>
    <xf numFmtId="0" fontId="22" fillId="7" borderId="17" applyNumberFormat="0" applyAlignment="0" applyProtection="0"/>
    <xf numFmtId="0" fontId="23" fillId="0" borderId="19" applyNumberFormat="0" applyFill="0" applyAlignment="0" applyProtection="0"/>
    <xf numFmtId="0" fontId="24" fillId="6" borderId="0" applyNumberFormat="0" applyBorder="0" applyAlignment="0" applyProtection="0"/>
    <xf numFmtId="0" fontId="25" fillId="0" borderId="0"/>
    <xf numFmtId="0" fontId="12" fillId="10" borderId="21" applyNumberFormat="0" applyFont="0" applyAlignment="0" applyProtection="0"/>
    <xf numFmtId="0" fontId="26" fillId="8" borderId="18" applyNumberFormat="0" applyAlignment="0" applyProtection="0"/>
    <xf numFmtId="9" fontId="12" fillId="0" borderId="0" applyFont="0" applyFill="0" applyBorder="0" applyAlignment="0" applyProtection="0"/>
    <xf numFmtId="0" fontId="27" fillId="0" borderId="22" applyNumberFormat="0" applyFill="0" applyAlignment="0" applyProtection="0"/>
    <xf numFmtId="0" fontId="28" fillId="0" borderId="0" applyNumberFormat="0" applyFill="0" applyBorder="0" applyAlignment="0" applyProtection="0"/>
    <xf numFmtId="0" fontId="53" fillId="0" borderId="0" applyNumberFormat="0" applyFill="0" applyBorder="0" applyAlignment="0" applyProtection="0"/>
    <xf numFmtId="0" fontId="55" fillId="0" borderId="0"/>
  </cellStyleXfs>
  <cellXfs count="260">
    <xf numFmtId="0" fontId="0" fillId="0" borderId="0" xfId="0"/>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6" fillId="0" borderId="0" xfId="0" applyFont="1" applyFill="1" applyBorder="1" applyAlignment="1">
      <alignment horizontal="left" vertical="center"/>
    </xf>
    <xf numFmtId="0" fontId="3" fillId="0" borderId="0" xfId="0" applyFont="1" applyAlignment="1">
      <alignment vertical="center"/>
    </xf>
    <xf numFmtId="0" fontId="3" fillId="0" borderId="4" xfId="0" applyFont="1" applyBorder="1" applyAlignment="1">
      <alignment vertical="center"/>
    </xf>
    <xf numFmtId="0" fontId="9" fillId="0" borderId="0" xfId="0" applyFont="1" applyFill="1" applyBorder="1" applyAlignment="1">
      <alignment vertical="center"/>
    </xf>
    <xf numFmtId="49" fontId="4" fillId="0" borderId="0" xfId="0" applyNumberFormat="1" applyFont="1" applyAlignment="1">
      <alignment horizontal="left" vertical="center" indent="1"/>
    </xf>
    <xf numFmtId="8" fontId="3" fillId="0" borderId="1" xfId="0" applyNumberFormat="1" applyFont="1" applyBorder="1" applyAlignment="1">
      <alignment horizontal="center" vertical="center"/>
    </xf>
    <xf numFmtId="0" fontId="3" fillId="0" borderId="4" xfId="0" applyFont="1" applyBorder="1" applyAlignment="1">
      <alignment horizontal="center" vertical="center"/>
    </xf>
    <xf numFmtId="0" fontId="4" fillId="0" borderId="1" xfId="0" applyFont="1" applyBorder="1" applyAlignment="1">
      <alignment horizontal="center" vertical="center"/>
    </xf>
    <xf numFmtId="0" fontId="3" fillId="3" borderId="0" xfId="0" applyFont="1" applyFill="1" applyAlignment="1">
      <alignment vertical="center"/>
    </xf>
    <xf numFmtId="44" fontId="3" fillId="3" borderId="0" xfId="1" applyFont="1" applyFill="1" applyAlignment="1">
      <alignment vertical="center"/>
    </xf>
    <xf numFmtId="9" fontId="3" fillId="3" borderId="0" xfId="2" applyFont="1" applyFill="1" applyAlignment="1">
      <alignment vertical="center"/>
    </xf>
    <xf numFmtId="44" fontId="3" fillId="3" borderId="0" xfId="0" applyNumberFormat="1" applyFont="1" applyFill="1" applyAlignment="1">
      <alignment vertical="center"/>
    </xf>
    <xf numFmtId="0" fontId="11" fillId="0" borderId="0" xfId="0" applyFont="1" applyAlignment="1">
      <alignment horizontal="center" vertical="center"/>
    </xf>
    <xf numFmtId="0" fontId="29" fillId="0" borderId="0" xfId="0" applyFont="1" applyFill="1" applyBorder="1" applyAlignment="1">
      <alignment horizontal="center" vertical="center"/>
    </xf>
    <xf numFmtId="8" fontId="29" fillId="0" borderId="0" xfId="0" applyNumberFormat="1" applyFont="1" applyFill="1" applyBorder="1" applyAlignment="1">
      <alignment horizontal="center" vertical="center"/>
    </xf>
    <xf numFmtId="0" fontId="31" fillId="0" borderId="0" xfId="0" applyFont="1" applyFill="1" applyBorder="1" applyAlignment="1">
      <alignment horizontal="center" vertical="center"/>
    </xf>
    <xf numFmtId="5" fontId="3" fillId="0" borderId="0"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9" fontId="1" fillId="0" borderId="0" xfId="0" applyNumberFormat="1" applyFont="1" applyAlignment="1">
      <alignment horizontal="center" vertical="center"/>
    </xf>
    <xf numFmtId="0" fontId="1" fillId="0" borderId="0" xfId="0" applyFont="1" applyAlignment="1">
      <alignment vertical="center"/>
    </xf>
    <xf numFmtId="0" fontId="3" fillId="0" borderId="0" xfId="0" applyFont="1" applyFill="1" applyBorder="1" applyAlignment="1">
      <alignment vertical="center" wrapText="1"/>
    </xf>
    <xf numFmtId="0" fontId="10" fillId="2" borderId="13" xfId="0" applyFont="1" applyFill="1" applyBorder="1" applyAlignment="1">
      <alignment horizontal="center" vertical="center"/>
    </xf>
    <xf numFmtId="0" fontId="10" fillId="2" borderId="13"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166" fontId="3" fillId="0" borderId="0" xfId="2" applyNumberFormat="1" applyFont="1" applyFill="1" applyAlignment="1">
      <alignment horizontal="center" vertical="center"/>
    </xf>
    <xf numFmtId="9" fontId="36" fillId="2" borderId="25" xfId="0" applyNumberFormat="1"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25" xfId="0" applyFont="1" applyFill="1" applyBorder="1" applyAlignment="1">
      <alignment horizontal="center" vertical="center"/>
    </xf>
    <xf numFmtId="5" fontId="37" fillId="0" borderId="29" xfId="1" applyNumberFormat="1" applyFont="1" applyFill="1" applyBorder="1" applyAlignment="1">
      <alignment horizontal="center" vertical="center"/>
    </xf>
    <xf numFmtId="5" fontId="37" fillId="0" borderId="0" xfId="1" applyNumberFormat="1" applyFont="1" applyFill="1" applyBorder="1" applyAlignment="1">
      <alignment horizontal="right" vertical="center" indent="1"/>
    </xf>
    <xf numFmtId="0" fontId="35" fillId="0" borderId="0" xfId="0" applyFont="1" applyFill="1" applyBorder="1" applyAlignment="1">
      <alignment horizontal="center" vertical="center"/>
    </xf>
    <xf numFmtId="0" fontId="39"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40" fillId="0" borderId="0" xfId="0" applyFont="1" applyFill="1" applyBorder="1" applyAlignment="1">
      <alignment horizontal="center" vertical="center" wrapText="1"/>
    </xf>
    <xf numFmtId="0" fontId="1" fillId="0" borderId="0" xfId="0" applyFont="1" applyFill="1" applyBorder="1" applyAlignment="1">
      <alignment horizontal="right" vertical="center"/>
    </xf>
    <xf numFmtId="0" fontId="41" fillId="0" borderId="0" xfId="0" applyFont="1" applyFill="1" applyBorder="1" applyAlignment="1">
      <alignment horizontal="left" vertical="center"/>
    </xf>
    <xf numFmtId="0" fontId="7" fillId="0" borderId="0" xfId="0" applyFont="1" applyAlignment="1">
      <alignment horizontal="center" vertical="center"/>
    </xf>
    <xf numFmtId="0" fontId="39" fillId="0" borderId="0" xfId="0" applyFont="1" applyFill="1" applyBorder="1" applyAlignment="1">
      <alignment horizontal="center" vertical="center" wrapText="1"/>
    </xf>
    <xf numFmtId="0" fontId="33" fillId="0" borderId="0" xfId="0" applyFont="1" applyFill="1" applyBorder="1" applyAlignment="1">
      <alignment vertical="center"/>
    </xf>
    <xf numFmtId="0" fontId="45" fillId="0" borderId="0" xfId="0" applyFont="1" applyFill="1" applyBorder="1" applyAlignment="1">
      <alignment horizontal="center" vertical="center"/>
    </xf>
    <xf numFmtId="0" fontId="46" fillId="0" borderId="30" xfId="0" applyFont="1" applyFill="1" applyBorder="1" applyAlignment="1">
      <alignment horizontal="center" vertical="center" wrapText="1"/>
    </xf>
    <xf numFmtId="0" fontId="46" fillId="0" borderId="31"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32" xfId="0" applyFont="1" applyFill="1" applyBorder="1" applyAlignment="1">
      <alignment horizontal="center" vertical="center" wrapText="1"/>
    </xf>
    <xf numFmtId="0" fontId="3" fillId="0" borderId="34"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35" xfId="0" applyFont="1" applyFill="1" applyBorder="1" applyAlignment="1">
      <alignment horizontal="center" vertical="center"/>
    </xf>
    <xf numFmtId="0" fontId="29" fillId="0" borderId="36"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5" fontId="44" fillId="0" borderId="39" xfId="0" applyNumberFormat="1" applyFont="1" applyFill="1" applyBorder="1" applyAlignment="1">
      <alignment horizontal="center" vertical="center"/>
    </xf>
    <xf numFmtId="0" fontId="40" fillId="0" borderId="34" xfId="0" applyFont="1" applyFill="1" applyBorder="1" applyAlignment="1">
      <alignment horizontal="center" vertical="center" wrapText="1"/>
    </xf>
    <xf numFmtId="0" fontId="48" fillId="35" borderId="41" xfId="0" applyNumberFormat="1" applyFont="1" applyFill="1" applyBorder="1" applyAlignment="1" applyProtection="1">
      <alignment horizontal="center" wrapText="1"/>
    </xf>
    <xf numFmtId="164" fontId="49" fillId="35" borderId="42" xfId="1" applyNumberFormat="1" applyFont="1" applyFill="1" applyBorder="1" applyAlignment="1" applyProtection="1">
      <alignment horizontal="right" wrapText="1"/>
    </xf>
    <xf numFmtId="164" fontId="44" fillId="0" borderId="38" xfId="1" applyNumberFormat="1" applyFont="1" applyFill="1" applyBorder="1" applyAlignment="1">
      <alignment horizontal="center" vertical="center"/>
    </xf>
    <xf numFmtId="9" fontId="46" fillId="0" borderId="33" xfId="2" applyFont="1" applyFill="1" applyBorder="1" applyAlignment="1">
      <alignment horizontal="center" vertical="center" wrapText="1"/>
    </xf>
    <xf numFmtId="9" fontId="46" fillId="0" borderId="0" xfId="2" applyFont="1" applyFill="1" applyBorder="1" applyAlignment="1">
      <alignment horizontal="center" vertical="center" wrapText="1"/>
    </xf>
    <xf numFmtId="166" fontId="36" fillId="2" borderId="41" xfId="2" applyNumberFormat="1" applyFont="1" applyFill="1" applyBorder="1" applyAlignment="1">
      <alignment horizontal="center" vertical="center"/>
    </xf>
    <xf numFmtId="0" fontId="7" fillId="3" borderId="41" xfId="0" applyFont="1" applyFill="1" applyBorder="1" applyAlignment="1">
      <alignment horizontal="center" vertical="center"/>
    </xf>
    <xf numFmtId="0" fontId="34" fillId="0" borderId="41" xfId="0" applyFont="1" applyFill="1" applyBorder="1" applyAlignment="1">
      <alignment horizontal="center" vertical="center" wrapText="1"/>
    </xf>
    <xf numFmtId="164" fontId="34" fillId="0" borderId="41" xfId="1" applyNumberFormat="1" applyFont="1" applyFill="1" applyBorder="1" applyAlignment="1">
      <alignment horizontal="center" vertical="center" wrapText="1"/>
    </xf>
    <xf numFmtId="0" fontId="40" fillId="0" borderId="41" xfId="0" applyFont="1" applyFill="1" applyBorder="1" applyAlignment="1">
      <alignment horizontal="right" vertical="center" wrapText="1" indent="1"/>
    </xf>
    <xf numFmtId="0" fontId="40" fillId="0" borderId="41" xfId="0" applyFont="1" applyFill="1" applyBorder="1" applyAlignment="1">
      <alignment horizontal="center" vertical="center" wrapText="1"/>
    </xf>
    <xf numFmtId="5" fontId="35" fillId="3" borderId="41" xfId="0" applyNumberFormat="1" applyFont="1" applyFill="1" applyBorder="1" applyAlignment="1" applyProtection="1">
      <alignment horizontal="right" vertical="center" indent="1"/>
      <protection locked="0"/>
    </xf>
    <xf numFmtId="2" fontId="7" fillId="0" borderId="41" xfId="0" applyNumberFormat="1" applyFont="1" applyFill="1" applyBorder="1" applyAlignment="1">
      <alignment horizontal="center" vertical="center" wrapText="1"/>
    </xf>
    <xf numFmtId="166" fontId="7" fillId="0" borderId="41" xfId="2" applyNumberFormat="1" applyFont="1" applyFill="1" applyBorder="1" applyAlignment="1">
      <alignment horizontal="center" vertical="center" wrapText="1"/>
    </xf>
    <xf numFmtId="9" fontId="36" fillId="2" borderId="41" xfId="0" applyNumberFormat="1" applyFont="1" applyFill="1" applyBorder="1" applyAlignment="1">
      <alignment horizontal="center" vertical="center"/>
    </xf>
    <xf numFmtId="0" fontId="7" fillId="0" borderId="41" xfId="0" applyFont="1" applyFill="1" applyBorder="1" applyAlignment="1">
      <alignment horizontal="center" vertical="center" wrapText="1"/>
    </xf>
    <xf numFmtId="5" fontId="37" fillId="0" borderId="41" xfId="1" applyNumberFormat="1" applyFont="1" applyFill="1" applyBorder="1" applyAlignment="1">
      <alignment horizontal="center" vertical="center"/>
    </xf>
    <xf numFmtId="0" fontId="34" fillId="0" borderId="41" xfId="0" applyFont="1" applyFill="1" applyBorder="1" applyAlignment="1">
      <alignment horizontal="center" vertical="center"/>
    </xf>
    <xf numFmtId="0" fontId="7" fillId="2" borderId="41" xfId="0" applyFont="1" applyFill="1" applyBorder="1" applyAlignment="1">
      <alignment horizontal="center" vertical="center"/>
    </xf>
    <xf numFmtId="0" fontId="34" fillId="3" borderId="41" xfId="0" applyFont="1" applyFill="1" applyBorder="1" applyAlignment="1">
      <alignment horizontal="center" vertical="center"/>
    </xf>
    <xf numFmtId="0" fontId="34" fillId="2" borderId="41" xfId="0" applyFont="1" applyFill="1" applyBorder="1" applyAlignment="1">
      <alignment horizontal="center" vertical="center" wrapText="1"/>
    </xf>
    <xf numFmtId="0" fontId="34" fillId="3" borderId="41" xfId="0" applyFont="1" applyFill="1" applyBorder="1" applyAlignment="1">
      <alignment horizontal="center" vertical="center" wrapText="1"/>
    </xf>
    <xf numFmtId="0" fontId="0" fillId="37" borderId="41" xfId="0" applyFont="1" applyFill="1" applyBorder="1" applyAlignment="1">
      <alignment horizontal="center"/>
    </xf>
    <xf numFmtId="0" fontId="5" fillId="0" borderId="41" xfId="0" applyFont="1" applyFill="1" applyBorder="1" applyAlignment="1">
      <alignment horizontal="center" vertical="center" wrapText="1"/>
    </xf>
    <xf numFmtId="0" fontId="5" fillId="0" borderId="41" xfId="0" applyFont="1" applyFill="1" applyBorder="1" applyAlignment="1">
      <alignment horizontal="center" vertical="center"/>
    </xf>
    <xf numFmtId="166" fontId="5" fillId="0" borderId="41" xfId="2" applyNumberFormat="1" applyFont="1" applyFill="1" applyBorder="1" applyAlignment="1">
      <alignment horizontal="center" vertical="center" wrapText="1"/>
    </xf>
    <xf numFmtId="166" fontId="3" fillId="0" borderId="41" xfId="2" applyNumberFormat="1" applyFont="1" applyFill="1" applyBorder="1" applyAlignment="1">
      <alignment horizontal="center" vertical="center"/>
    </xf>
    <xf numFmtId="164" fontId="3" fillId="0" borderId="41" xfId="1" applyNumberFormat="1" applyFont="1" applyFill="1" applyBorder="1" applyAlignment="1">
      <alignment horizontal="right" vertical="center" indent="1"/>
    </xf>
    <xf numFmtId="164" fontId="3" fillId="0" borderId="41" xfId="1" applyNumberFormat="1" applyFont="1" applyFill="1" applyBorder="1" applyAlignment="1">
      <alignment horizontal="center" vertical="center"/>
    </xf>
    <xf numFmtId="164" fontId="3" fillId="0" borderId="0" xfId="0" applyNumberFormat="1" applyFont="1" applyFill="1" applyAlignment="1">
      <alignment horizontal="center" vertical="center"/>
    </xf>
    <xf numFmtId="164" fontId="3" fillId="0" borderId="41" xfId="0" applyNumberFormat="1" applyFont="1" applyFill="1" applyBorder="1" applyAlignment="1">
      <alignment horizontal="right" vertical="center" indent="1"/>
    </xf>
    <xf numFmtId="0" fontId="1" fillId="0" borderId="0" xfId="0" applyFont="1" applyBorder="1" applyAlignment="1">
      <alignment vertical="center"/>
    </xf>
    <xf numFmtId="0" fontId="1" fillId="0" borderId="0" xfId="0" applyFont="1" applyBorder="1" applyAlignment="1">
      <alignment horizontal="right" vertical="center" indent="1"/>
    </xf>
    <xf numFmtId="9" fontId="1" fillId="0" borderId="0" xfId="0" applyNumberFormat="1" applyFont="1" applyBorder="1" applyAlignment="1">
      <alignment horizontal="center" vertical="center"/>
    </xf>
    <xf numFmtId="0" fontId="10" fillId="0" borderId="41" xfId="0" applyNumberFormat="1" applyFont="1" applyBorder="1" applyAlignment="1" applyProtection="1">
      <alignment horizontal="left" vertical="center"/>
      <protection locked="0"/>
    </xf>
    <xf numFmtId="0" fontId="47" fillId="35" borderId="41" xfId="0" applyNumberFormat="1" applyFont="1" applyFill="1" applyBorder="1" applyAlignment="1" applyProtection="1">
      <alignment horizontal="left" indent="1"/>
    </xf>
    <xf numFmtId="0" fontId="35" fillId="0" borderId="41" xfId="0" applyFont="1" applyFill="1" applyBorder="1" applyAlignment="1">
      <alignment horizontal="center" vertical="center" wrapText="1"/>
    </xf>
    <xf numFmtId="0" fontId="44" fillId="0" borderId="41" xfId="4" applyFont="1" applyBorder="1" applyAlignment="1">
      <alignment horizontal="center" vertical="center"/>
    </xf>
    <xf numFmtId="0" fontId="51" fillId="0" borderId="41" xfId="4" applyFont="1" applyBorder="1" applyAlignment="1">
      <alignment horizontal="left" vertical="center" indent="1"/>
    </xf>
    <xf numFmtId="0" fontId="1" fillId="0" borderId="41" xfId="4" applyFont="1" applyBorder="1" applyAlignment="1">
      <alignment horizontal="center" vertical="center"/>
    </xf>
    <xf numFmtId="0" fontId="1" fillId="0" borderId="41" xfId="4" applyFont="1" applyBorder="1" applyAlignment="1">
      <alignment horizontal="left" vertical="center"/>
    </xf>
    <xf numFmtId="0" fontId="52" fillId="3" borderId="41" xfId="0" applyNumberFormat="1" applyFont="1" applyFill="1" applyBorder="1" applyAlignment="1" applyProtection="1">
      <alignment horizontal="left" vertical="center" indent="1"/>
      <protection locked="0"/>
    </xf>
    <xf numFmtId="0" fontId="32" fillId="35" borderId="41" xfId="0" applyNumberFormat="1" applyFont="1" applyFill="1" applyBorder="1" applyAlignment="1" applyProtection="1">
      <alignment horizontal="left" vertical="center"/>
    </xf>
    <xf numFmtId="9" fontId="3" fillId="0" borderId="0" xfId="2" applyFont="1" applyFill="1" applyAlignment="1">
      <alignment horizontal="center" vertical="center"/>
    </xf>
    <xf numFmtId="44" fontId="3" fillId="0" borderId="41" xfId="1" applyFont="1" applyFill="1" applyBorder="1" applyAlignment="1">
      <alignment horizontal="center" vertical="center"/>
    </xf>
    <xf numFmtId="9" fontId="3" fillId="0" borderId="41" xfId="2" applyFont="1" applyFill="1" applyBorder="1" applyAlignment="1">
      <alignment horizontal="center" vertical="center"/>
    </xf>
    <xf numFmtId="10" fontId="3" fillId="0" borderId="41" xfId="2" applyNumberFormat="1" applyFont="1" applyFill="1" applyBorder="1" applyAlignment="1">
      <alignment horizontal="center" vertical="center"/>
    </xf>
    <xf numFmtId="164" fontId="44" fillId="0" borderId="0" xfId="1" applyNumberFormat="1" applyFont="1" applyFill="1" applyBorder="1" applyAlignment="1">
      <alignment horizontal="center" vertical="center"/>
    </xf>
    <xf numFmtId="164" fontId="44" fillId="0" borderId="39" xfId="1" applyNumberFormat="1" applyFont="1" applyFill="1" applyBorder="1" applyAlignment="1">
      <alignment horizontal="center" vertical="center"/>
    </xf>
    <xf numFmtId="164" fontId="44" fillId="0" borderId="40" xfId="1" applyNumberFormat="1" applyFont="1" applyFill="1" applyBorder="1" applyAlignment="1">
      <alignment horizontal="center" vertical="center"/>
    </xf>
    <xf numFmtId="7" fontId="11" fillId="0" borderId="0" xfId="0" applyNumberFormat="1" applyFont="1" applyAlignment="1">
      <alignment horizontal="center" vertical="center"/>
    </xf>
    <xf numFmtId="8" fontId="50" fillId="35" borderId="0" xfId="4" applyNumberFormat="1" applyFont="1" applyFill="1" applyBorder="1" applyAlignment="1" applyProtection="1">
      <alignment horizontal="right" wrapText="1"/>
    </xf>
    <xf numFmtId="0" fontId="50" fillId="35" borderId="0" xfId="4" applyNumberFormat="1" applyFont="1" applyFill="1" applyBorder="1" applyAlignment="1" applyProtection="1">
      <alignment horizontal="left"/>
    </xf>
    <xf numFmtId="0" fontId="50" fillId="35" borderId="0" xfId="4" applyNumberFormat="1" applyFont="1" applyFill="1" applyBorder="1" applyAlignment="1" applyProtection="1">
      <alignment horizontal="left" wrapText="1"/>
    </xf>
    <xf numFmtId="0" fontId="54" fillId="3" borderId="41" xfId="0" applyFont="1" applyFill="1" applyBorder="1" applyAlignment="1">
      <alignment horizontal="center" vertical="center" wrapText="1"/>
    </xf>
    <xf numFmtId="0" fontId="54" fillId="3" borderId="41" xfId="0" applyFont="1" applyFill="1" applyBorder="1" applyAlignment="1">
      <alignment horizontal="center" vertical="center"/>
    </xf>
    <xf numFmtId="0" fontId="51" fillId="0" borderId="0" xfId="0" applyFont="1" applyFill="1" applyBorder="1" applyAlignment="1">
      <alignment horizontal="center" vertical="center" wrapText="1"/>
    </xf>
    <xf numFmtId="0" fontId="51" fillId="0" borderId="34" xfId="0" applyFont="1" applyFill="1" applyBorder="1" applyAlignment="1">
      <alignment horizontal="center" vertical="center" wrapText="1"/>
    </xf>
    <xf numFmtId="167" fontId="32" fillId="35" borderId="41" xfId="1" applyNumberFormat="1" applyFont="1" applyFill="1" applyBorder="1" applyAlignment="1" applyProtection="1">
      <alignment vertical="center" wrapText="1"/>
    </xf>
    <xf numFmtId="167" fontId="1" fillId="0" borderId="41" xfId="1" applyNumberFormat="1" applyFont="1" applyBorder="1" applyAlignment="1">
      <alignment vertical="center"/>
    </xf>
    <xf numFmtId="167" fontId="1" fillId="0" borderId="0" xfId="1" applyNumberFormat="1" applyFont="1" applyBorder="1" applyAlignment="1">
      <alignment horizontal="center" vertical="center"/>
    </xf>
    <xf numFmtId="9" fontId="1" fillId="0" borderId="41" xfId="2" applyNumberFormat="1" applyFont="1" applyFill="1" applyBorder="1" applyAlignment="1">
      <alignment horizontal="center" vertical="center" wrapText="1"/>
    </xf>
    <xf numFmtId="168" fontId="32" fillId="0" borderId="45" xfId="49" applyNumberFormat="1" applyFont="1" applyBorder="1" applyAlignment="1">
      <alignment horizontal="right" vertical="center"/>
    </xf>
    <xf numFmtId="167" fontId="7" fillId="0" borderId="41" xfId="1" applyNumberFormat="1" applyFont="1" applyFill="1" applyBorder="1" applyAlignment="1">
      <alignment horizontal="right" vertical="center" wrapText="1" indent="1"/>
    </xf>
    <xf numFmtId="0" fontId="39" fillId="0" borderId="23" xfId="0" applyFont="1" applyFill="1" applyBorder="1" applyAlignment="1">
      <alignment vertical="center"/>
    </xf>
    <xf numFmtId="0" fontId="39" fillId="0" borderId="46" xfId="0" applyFont="1" applyFill="1" applyBorder="1" applyAlignment="1">
      <alignment vertical="center"/>
    </xf>
    <xf numFmtId="166" fontId="36" fillId="2" borderId="47" xfId="2" applyNumberFormat="1" applyFont="1" applyFill="1" applyBorder="1" applyAlignment="1">
      <alignment horizontal="center" vertical="center"/>
    </xf>
    <xf numFmtId="167" fontId="44" fillId="0" borderId="0" xfId="0" applyNumberFormat="1" applyFont="1" applyFill="1" applyBorder="1" applyAlignment="1">
      <alignment horizontal="center" vertical="center"/>
    </xf>
    <xf numFmtId="164" fontId="52" fillId="3" borderId="41" xfId="1" applyNumberFormat="1" applyFont="1" applyFill="1" applyBorder="1" applyAlignment="1" applyProtection="1">
      <alignment horizontal="center" vertical="center"/>
      <protection locked="0"/>
    </xf>
    <xf numFmtId="164" fontId="54" fillId="3" borderId="41" xfId="1" applyNumberFormat="1" applyFont="1" applyFill="1" applyBorder="1" applyAlignment="1" applyProtection="1">
      <alignment horizontal="center" vertical="center"/>
      <protection locked="0"/>
    </xf>
    <xf numFmtId="2" fontId="44" fillId="3" borderId="41" xfId="0" applyNumberFormat="1" applyFont="1" applyFill="1" applyBorder="1" applyAlignment="1">
      <alignment horizontal="center" vertical="center" wrapText="1"/>
    </xf>
    <xf numFmtId="2" fontId="54" fillId="3" borderId="41" xfId="0" applyNumberFormat="1" applyFont="1" applyFill="1" applyBorder="1" applyAlignment="1" applyProtection="1">
      <alignment horizontal="right" vertical="center" indent="1"/>
      <protection locked="0"/>
    </xf>
    <xf numFmtId="2" fontId="54" fillId="3" borderId="41" xfId="0" applyNumberFormat="1" applyFont="1" applyFill="1" applyBorder="1" applyAlignment="1" applyProtection="1">
      <alignment horizontal="center" vertical="center"/>
      <protection locked="0"/>
    </xf>
    <xf numFmtId="164" fontId="44" fillId="3" borderId="41" xfId="1" applyNumberFormat="1" applyFont="1" applyFill="1" applyBorder="1" applyAlignment="1">
      <alignment horizontal="right" vertical="center" indent="1"/>
    </xf>
    <xf numFmtId="166" fontId="44" fillId="3" borderId="41" xfId="2" applyNumberFormat="1" applyFont="1" applyFill="1" applyBorder="1" applyAlignment="1">
      <alignment horizontal="center" vertical="center" wrapText="1"/>
    </xf>
    <xf numFmtId="0" fontId="44" fillId="0" borderId="0" xfId="0" applyFont="1" applyAlignment="1">
      <alignment horizontal="center" vertical="center"/>
    </xf>
    <xf numFmtId="9" fontId="44" fillId="0" borderId="33" xfId="0" applyNumberFormat="1" applyFont="1" applyFill="1" applyBorder="1" applyAlignment="1">
      <alignment horizontal="center" vertical="center"/>
    </xf>
    <xf numFmtId="9" fontId="44" fillId="0" borderId="0" xfId="0" applyNumberFormat="1" applyFont="1" applyFill="1" applyBorder="1" applyAlignment="1">
      <alignment horizontal="center" vertical="center"/>
    </xf>
    <xf numFmtId="0" fontId="44" fillId="0" borderId="0" xfId="0" applyFont="1" applyFill="1" applyBorder="1" applyAlignment="1">
      <alignment horizontal="center" vertical="center"/>
    </xf>
    <xf numFmtId="164" fontId="44" fillId="0" borderId="34" xfId="1" applyNumberFormat="1" applyFont="1" applyFill="1" applyBorder="1" applyAlignment="1">
      <alignment horizontal="center" vertical="center"/>
    </xf>
    <xf numFmtId="5" fontId="52" fillId="3" borderId="41" xfId="0" applyNumberFormat="1" applyFont="1" applyFill="1" applyBorder="1" applyAlignment="1" applyProtection="1">
      <alignment horizontal="right" vertical="center" indent="1"/>
      <protection locked="0"/>
    </xf>
    <xf numFmtId="167" fontId="44" fillId="0" borderId="41" xfId="0" applyNumberFormat="1" applyFont="1" applyFill="1" applyBorder="1" applyAlignment="1">
      <alignment horizontal="right" vertical="center" wrapText="1" indent="1"/>
    </xf>
    <xf numFmtId="2" fontId="44" fillId="0" borderId="41" xfId="0" applyNumberFormat="1" applyFont="1" applyFill="1" applyBorder="1" applyAlignment="1">
      <alignment horizontal="center" vertical="center" wrapText="1"/>
    </xf>
    <xf numFmtId="0" fontId="44" fillId="0" borderId="41" xfId="0" applyFont="1" applyFill="1" applyBorder="1" applyAlignment="1">
      <alignment horizontal="center" vertical="center" wrapText="1"/>
    </xf>
    <xf numFmtId="2" fontId="54" fillId="0" borderId="41" xfId="0" applyNumberFormat="1" applyFont="1" applyFill="1" applyBorder="1" applyAlignment="1" applyProtection="1">
      <alignment horizontal="center" vertical="center"/>
      <protection locked="0"/>
    </xf>
    <xf numFmtId="5" fontId="44" fillId="0" borderId="41" xfId="1" applyNumberFormat="1" applyFont="1" applyFill="1" applyBorder="1" applyAlignment="1">
      <alignment horizontal="right" vertical="center" indent="1"/>
    </xf>
    <xf numFmtId="166" fontId="44" fillId="0" borderId="41" xfId="2" applyNumberFormat="1" applyFont="1" applyFill="1" applyBorder="1" applyAlignment="1">
      <alignment horizontal="center" vertical="center" wrapText="1"/>
    </xf>
    <xf numFmtId="9" fontId="40" fillId="0" borderId="33" xfId="0" applyNumberFormat="1" applyFont="1" applyFill="1" applyBorder="1" applyAlignment="1">
      <alignment horizontal="center" vertical="center" wrapText="1"/>
    </xf>
    <xf numFmtId="9" fontId="40" fillId="0" borderId="0" xfId="2" applyFont="1" applyFill="1" applyBorder="1" applyAlignment="1">
      <alignment horizontal="center" vertical="center" wrapText="1"/>
    </xf>
    <xf numFmtId="9" fontId="40" fillId="0" borderId="33" xfId="2" applyFont="1" applyFill="1" applyBorder="1" applyAlignment="1">
      <alignment horizontal="center" vertical="center" wrapText="1"/>
    </xf>
    <xf numFmtId="164" fontId="47" fillId="35" borderId="41" xfId="1" applyNumberFormat="1" applyFont="1" applyFill="1" applyBorder="1" applyAlignment="1" applyProtection="1">
      <alignment horizontal="center" vertical="center" wrapText="1"/>
    </xf>
    <xf numFmtId="164" fontId="54" fillId="3" borderId="41" xfId="1" applyNumberFormat="1" applyFont="1" applyFill="1" applyBorder="1" applyAlignment="1" applyProtection="1">
      <alignment horizontal="center" vertical="center" wrapText="1"/>
      <protection locked="0"/>
    </xf>
    <xf numFmtId="9" fontId="44" fillId="3" borderId="33" xfId="0" applyNumberFormat="1" applyFont="1" applyFill="1" applyBorder="1" applyAlignment="1">
      <alignment horizontal="center" vertical="center"/>
    </xf>
    <xf numFmtId="0" fontId="44" fillId="3" borderId="0" xfId="0" applyFont="1" applyFill="1" applyBorder="1" applyAlignment="1">
      <alignment horizontal="center" vertical="center"/>
    </xf>
    <xf numFmtId="164" fontId="44" fillId="3" borderId="0" xfId="1" applyNumberFormat="1" applyFont="1" applyFill="1" applyBorder="1" applyAlignment="1">
      <alignment horizontal="center" vertical="center"/>
    </xf>
    <xf numFmtId="164" fontId="47" fillId="35" borderId="41" xfId="1" applyNumberFormat="1" applyFont="1" applyFill="1" applyBorder="1" applyAlignment="1" applyProtection="1">
      <alignment horizontal="right" vertical="center" wrapText="1"/>
    </xf>
    <xf numFmtId="0" fontId="44" fillId="0" borderId="0" xfId="0" applyFont="1" applyFill="1" applyBorder="1" applyAlignment="1">
      <alignment horizontal="right" vertical="center" indent="1"/>
    </xf>
    <xf numFmtId="5" fontId="44" fillId="0" borderId="0" xfId="0" applyNumberFormat="1" applyFont="1" applyFill="1" applyBorder="1" applyAlignment="1">
      <alignment horizontal="right" vertical="center"/>
    </xf>
    <xf numFmtId="2" fontId="44" fillId="0" borderId="0" xfId="0" applyNumberFormat="1" applyFont="1" applyFill="1" applyBorder="1" applyAlignment="1">
      <alignment horizontal="right" vertical="center" indent="1"/>
    </xf>
    <xf numFmtId="2" fontId="44" fillId="0" borderId="0" xfId="0" applyNumberFormat="1" applyFont="1" applyFill="1" applyBorder="1" applyAlignment="1">
      <alignment horizontal="center" vertical="center"/>
    </xf>
    <xf numFmtId="164" fontId="44" fillId="0" borderId="0" xfId="1" applyNumberFormat="1" applyFont="1" applyFill="1" applyBorder="1" applyAlignment="1">
      <alignment horizontal="right" vertical="center" indent="1"/>
    </xf>
    <xf numFmtId="166" fontId="44" fillId="0" borderId="0" xfId="0" applyNumberFormat="1" applyFont="1" applyFill="1" applyBorder="1" applyAlignment="1">
      <alignment horizontal="center" vertical="center"/>
    </xf>
    <xf numFmtId="9" fontId="44" fillId="0" borderId="35" xfId="0" applyNumberFormat="1" applyFont="1" applyFill="1" applyBorder="1" applyAlignment="1">
      <alignment horizontal="center" vertical="center"/>
    </xf>
    <xf numFmtId="9" fontId="44" fillId="0" borderId="36" xfId="0" applyNumberFormat="1" applyFont="1" applyFill="1" applyBorder="1" applyAlignment="1">
      <alignment horizontal="center" vertical="center"/>
    </xf>
    <xf numFmtId="0" fontId="44" fillId="0" borderId="36" xfId="0" applyFont="1" applyFill="1" applyBorder="1" applyAlignment="1">
      <alignment horizontal="center" vertical="center"/>
    </xf>
    <xf numFmtId="0" fontId="44" fillId="0" borderId="0" xfId="0" applyFont="1" applyFill="1" applyBorder="1" applyAlignment="1">
      <alignment horizontal="right" vertical="center" indent="2"/>
    </xf>
    <xf numFmtId="5" fontId="44" fillId="0" borderId="0" xfId="0" applyNumberFormat="1" applyFont="1" applyFill="1" applyBorder="1" applyAlignment="1">
      <alignment horizontal="right" vertical="center" indent="1"/>
    </xf>
    <xf numFmtId="167" fontId="44" fillId="0" borderId="0" xfId="1" applyNumberFormat="1" applyFont="1" applyFill="1" applyBorder="1" applyAlignment="1">
      <alignment horizontal="right" vertical="center" indent="1"/>
    </xf>
    <xf numFmtId="5" fontId="44" fillId="0" borderId="0" xfId="1" applyNumberFormat="1" applyFont="1" applyFill="1" applyBorder="1" applyAlignment="1">
      <alignment horizontal="right" vertical="center" indent="1"/>
    </xf>
    <xf numFmtId="165" fontId="44" fillId="0" borderId="0" xfId="0" applyNumberFormat="1" applyFont="1" applyFill="1" applyBorder="1" applyAlignment="1">
      <alignment horizontal="center" vertical="center"/>
    </xf>
    <xf numFmtId="167" fontId="44" fillId="0" borderId="0" xfId="0" applyNumberFormat="1" applyFont="1" applyFill="1" applyBorder="1" applyAlignment="1">
      <alignment horizontal="right" vertical="center" indent="1"/>
    </xf>
    <xf numFmtId="0" fontId="44" fillId="0" borderId="33" xfId="0" applyFont="1" applyFill="1" applyBorder="1" applyAlignment="1">
      <alignment horizontal="center" vertical="center"/>
    </xf>
    <xf numFmtId="164" fontId="44" fillId="0" borderId="40" xfId="0" applyNumberFormat="1" applyFont="1" applyFill="1" applyBorder="1" applyAlignment="1">
      <alignment horizontal="center" vertical="center"/>
    </xf>
    <xf numFmtId="0" fontId="48" fillId="0" borderId="41" xfId="0" applyNumberFormat="1" applyFont="1" applyFill="1" applyBorder="1" applyAlignment="1" applyProtection="1">
      <alignment horizontal="center" wrapText="1"/>
    </xf>
    <xf numFmtId="0" fontId="7" fillId="0" borderId="41" xfId="0" applyFont="1" applyFill="1" applyBorder="1" applyAlignment="1">
      <alignment horizontal="center" vertical="center"/>
    </xf>
    <xf numFmtId="0" fontId="7" fillId="0" borderId="0" xfId="0" applyFont="1" applyBorder="1" applyAlignment="1">
      <alignment horizontal="center" vertical="center"/>
    </xf>
    <xf numFmtId="9" fontId="36" fillId="0" borderId="0" xfId="0" applyNumberFormat="1" applyFont="1" applyFill="1" applyBorder="1" applyAlignment="1">
      <alignment horizontal="center" vertical="center"/>
    </xf>
    <xf numFmtId="0" fontId="34" fillId="0" borderId="48" xfId="0" applyFont="1" applyFill="1" applyBorder="1" applyAlignment="1">
      <alignment horizontal="center" vertical="center"/>
    </xf>
    <xf numFmtId="5" fontId="42" fillId="0" borderId="0" xfId="1" applyNumberFormat="1" applyFont="1" applyFill="1" applyBorder="1" applyAlignment="1">
      <alignment vertical="center"/>
    </xf>
    <xf numFmtId="0" fontId="44" fillId="0" borderId="41" xfId="0" applyFont="1" applyFill="1" applyBorder="1" applyAlignment="1">
      <alignment horizontal="left" wrapText="1" indent="1"/>
    </xf>
    <xf numFmtId="0" fontId="44" fillId="0" borderId="41" xfId="4" applyFont="1" applyBorder="1" applyAlignment="1">
      <alignment horizontal="left" indent="1"/>
    </xf>
    <xf numFmtId="0" fontId="56" fillId="0" borderId="49" xfId="0" applyFont="1" applyBorder="1"/>
    <xf numFmtId="0" fontId="56" fillId="0" borderId="50" xfId="0" applyFont="1" applyBorder="1"/>
    <xf numFmtId="0" fontId="56" fillId="0" borderId="51" xfId="0" applyFont="1" applyBorder="1"/>
    <xf numFmtId="0" fontId="56" fillId="0" borderId="0" xfId="0" applyFont="1"/>
    <xf numFmtId="0" fontId="56" fillId="0" borderId="52" xfId="0" applyFont="1" applyBorder="1" applyAlignment="1">
      <alignment vertical="center"/>
    </xf>
    <xf numFmtId="0" fontId="56" fillId="0" borderId="0" xfId="0" applyFont="1" applyBorder="1" applyAlignment="1">
      <alignment vertical="center"/>
    </xf>
    <xf numFmtId="0" fontId="56" fillId="0" borderId="53" xfId="0" applyFont="1" applyBorder="1" applyAlignment="1">
      <alignment vertical="center"/>
    </xf>
    <xf numFmtId="0" fontId="58" fillId="0" borderId="52"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53" xfId="0" applyFont="1" applyFill="1" applyBorder="1" applyAlignment="1">
      <alignment horizontal="center" vertical="center"/>
    </xf>
    <xf numFmtId="0" fontId="56" fillId="0" borderId="0" xfId="0" applyFont="1" applyFill="1"/>
    <xf numFmtId="0" fontId="60" fillId="0" borderId="52" xfId="0" applyFont="1" applyBorder="1" applyAlignment="1">
      <alignment vertical="center"/>
    </xf>
    <xf numFmtId="0" fontId="60" fillId="0" borderId="0" xfId="0" applyFont="1" applyBorder="1" applyAlignment="1">
      <alignment vertical="center"/>
    </xf>
    <xf numFmtId="0" fontId="60" fillId="0" borderId="53" xfId="0" applyFont="1" applyBorder="1" applyAlignment="1">
      <alignment vertical="center"/>
    </xf>
    <xf numFmtId="0" fontId="56" fillId="0" borderId="52" xfId="0" applyFont="1" applyBorder="1" applyAlignment="1">
      <alignment horizontal="center"/>
    </xf>
    <xf numFmtId="0" fontId="56" fillId="0" borderId="0" xfId="0" applyFont="1" applyBorder="1" applyAlignment="1">
      <alignment horizontal="center"/>
    </xf>
    <xf numFmtId="0" fontId="56" fillId="0" borderId="53" xfId="0" applyFont="1" applyBorder="1" applyAlignment="1">
      <alignment horizontal="center"/>
    </xf>
    <xf numFmtId="0" fontId="56" fillId="0" borderId="52" xfId="0" applyFont="1" applyBorder="1"/>
    <xf numFmtId="0" fontId="56" fillId="0" borderId="0" xfId="0" applyFont="1" applyBorder="1"/>
    <xf numFmtId="0" fontId="56" fillId="0" borderId="53" xfId="0" applyFont="1" applyBorder="1"/>
    <xf numFmtId="0" fontId="1" fillId="0" borderId="58" xfId="4" applyFont="1" applyBorder="1" applyAlignment="1">
      <alignment horizontal="center" vertical="center"/>
    </xf>
    <xf numFmtId="0" fontId="0" fillId="37" borderId="13" xfId="0" applyFont="1" applyFill="1" applyBorder="1" applyAlignment="1">
      <alignment horizontal="center"/>
    </xf>
    <xf numFmtId="0" fontId="32" fillId="0" borderId="59" xfId="49" applyFont="1" applyBorder="1" applyAlignment="1">
      <alignment horizontal="center" vertical="center" wrapText="1"/>
    </xf>
    <xf numFmtId="0" fontId="32" fillId="0" borderId="57" xfId="49" applyFont="1" applyBorder="1" applyAlignment="1">
      <alignment horizontal="left" vertical="center" wrapText="1"/>
    </xf>
    <xf numFmtId="0" fontId="32" fillId="0" borderId="59" xfId="49" applyFont="1" applyBorder="1" applyAlignment="1">
      <alignment horizontal="left" vertical="center" wrapText="1"/>
    </xf>
    <xf numFmtId="167" fontId="32" fillId="0" borderId="59" xfId="49" applyNumberFormat="1" applyFont="1" applyBorder="1" applyAlignment="1">
      <alignment horizontal="right" vertical="center"/>
    </xf>
    <xf numFmtId="167" fontId="32" fillId="0" borderId="57" xfId="49" applyNumberFormat="1" applyFont="1" applyBorder="1" applyAlignment="1">
      <alignment horizontal="right" vertical="center"/>
    </xf>
    <xf numFmtId="49" fontId="4" fillId="0" borderId="0" xfId="0" applyNumberFormat="1" applyFont="1" applyAlignment="1">
      <alignment horizontal="left" vertical="center"/>
    </xf>
    <xf numFmtId="49" fontId="3" fillId="0" borderId="0" xfId="0" applyNumberFormat="1" applyFont="1" applyAlignment="1">
      <alignment vertical="center"/>
    </xf>
    <xf numFmtId="0" fontId="4" fillId="0" borderId="0" xfId="0" applyFont="1" applyAlignment="1">
      <alignment horizontal="left" vertical="center"/>
    </xf>
    <xf numFmtId="0" fontId="3" fillId="0" borderId="0" xfId="0" applyFont="1" applyAlignment="1">
      <alignment horizontal="left" vertical="center"/>
    </xf>
    <xf numFmtId="49" fontId="4" fillId="0" borderId="0" xfId="0" applyNumberFormat="1" applyFont="1" applyAlignment="1">
      <alignment vertical="center"/>
    </xf>
    <xf numFmtId="0" fontId="62" fillId="36" borderId="52" xfId="0" applyFont="1" applyFill="1" applyBorder="1" applyAlignment="1">
      <alignment horizontal="center" vertical="center"/>
    </xf>
    <xf numFmtId="0" fontId="62" fillId="36" borderId="0" xfId="0" applyFont="1" applyFill="1" applyBorder="1" applyAlignment="1">
      <alignment horizontal="center" vertical="center"/>
    </xf>
    <xf numFmtId="0" fontId="62" fillId="36" borderId="53" xfId="0" applyFont="1" applyFill="1" applyBorder="1" applyAlignment="1">
      <alignment horizontal="center" vertical="center"/>
    </xf>
    <xf numFmtId="49" fontId="61" fillId="0" borderId="54" xfId="0" applyNumberFormat="1" applyFont="1" applyBorder="1" applyAlignment="1">
      <alignment horizontal="right" indent="1"/>
    </xf>
    <xf numFmtId="49" fontId="61" fillId="0" borderId="55" xfId="0" applyNumberFormat="1" applyFont="1" applyBorder="1" applyAlignment="1">
      <alignment horizontal="right" indent="1"/>
    </xf>
    <xf numFmtId="49" fontId="61" fillId="0" borderId="56" xfId="0" applyNumberFormat="1" applyFont="1" applyBorder="1" applyAlignment="1">
      <alignment horizontal="right" indent="1"/>
    </xf>
    <xf numFmtId="0" fontId="57" fillId="0" borderId="52" xfId="0" applyFont="1" applyBorder="1" applyAlignment="1">
      <alignment horizontal="center" vertical="center"/>
    </xf>
    <xf numFmtId="0" fontId="57" fillId="0" borderId="0" xfId="0" applyFont="1" applyBorder="1" applyAlignment="1">
      <alignment horizontal="center" vertical="center"/>
    </xf>
    <xf numFmtId="0" fontId="57" fillId="0" borderId="53" xfId="0" applyFont="1" applyBorder="1" applyAlignment="1">
      <alignment horizontal="center" vertical="center"/>
    </xf>
    <xf numFmtId="0" fontId="58" fillId="38" borderId="52" xfId="0" applyFont="1" applyFill="1" applyBorder="1" applyAlignment="1">
      <alignment horizontal="center" vertical="center"/>
    </xf>
    <xf numFmtId="0" fontId="58" fillId="38" borderId="0" xfId="0" applyFont="1" applyFill="1" applyBorder="1" applyAlignment="1">
      <alignment horizontal="center" vertical="center"/>
    </xf>
    <xf numFmtId="0" fontId="58" fillId="38" borderId="53" xfId="0" applyFont="1" applyFill="1" applyBorder="1" applyAlignment="1">
      <alignment horizontal="center" vertical="center"/>
    </xf>
    <xf numFmtId="0" fontId="60" fillId="0" borderId="52" xfId="0" applyFont="1" applyBorder="1" applyAlignment="1">
      <alignment horizontal="center" vertical="center"/>
    </xf>
    <xf numFmtId="0" fontId="60" fillId="0" borderId="0" xfId="0" applyFont="1" applyBorder="1" applyAlignment="1">
      <alignment horizontal="center" vertical="center"/>
    </xf>
    <xf numFmtId="0" fontId="60" fillId="0" borderId="53" xfId="0" applyFont="1" applyBorder="1" applyAlignment="1">
      <alignment horizontal="center" vertical="center"/>
    </xf>
    <xf numFmtId="0" fontId="56" fillId="0" borderId="52" xfId="0" applyFont="1" applyBorder="1" applyAlignment="1">
      <alignment horizontal="center" vertical="center"/>
    </xf>
    <xf numFmtId="0" fontId="56" fillId="0" borderId="0" xfId="0" applyFont="1" applyBorder="1" applyAlignment="1">
      <alignment horizontal="center" vertical="center"/>
    </xf>
    <xf numFmtId="0" fontId="56" fillId="0" borderId="53" xfId="0" applyFont="1" applyBorder="1" applyAlignment="1">
      <alignment horizontal="center" vertical="center"/>
    </xf>
    <xf numFmtId="0" fontId="43" fillId="0" borderId="0" xfId="0" applyFont="1" applyFill="1" applyBorder="1" applyAlignment="1">
      <alignment horizontal="center" vertical="center"/>
    </xf>
    <xf numFmtId="49" fontId="3" fillId="0" borderId="5" xfId="0" applyNumberFormat="1" applyFont="1" applyBorder="1" applyAlignment="1">
      <alignment horizontal="left" vertical="center" wrapText="1" indent="1"/>
    </xf>
    <xf numFmtId="49" fontId="3" fillId="0" borderId="6" xfId="0" applyNumberFormat="1" applyFont="1" applyBorder="1" applyAlignment="1">
      <alignment horizontal="left" vertical="center" wrapText="1" indent="1"/>
    </xf>
    <xf numFmtId="49" fontId="3" fillId="0" borderId="7" xfId="0" applyNumberFormat="1" applyFont="1" applyBorder="1" applyAlignment="1">
      <alignment horizontal="left" vertical="center" wrapText="1" indent="1"/>
    </xf>
    <xf numFmtId="49" fontId="3" fillId="0" borderId="8" xfId="0" applyNumberFormat="1" applyFont="1" applyBorder="1" applyAlignment="1">
      <alignment horizontal="left" vertical="center" wrapText="1" indent="1"/>
    </xf>
    <xf numFmtId="49" fontId="3" fillId="0" borderId="0" xfId="0" applyNumberFormat="1" applyFont="1" applyBorder="1" applyAlignment="1">
      <alignment horizontal="left" vertical="center" wrapText="1" indent="1"/>
    </xf>
    <xf numFmtId="49" fontId="3" fillId="0" borderId="9" xfId="0" applyNumberFormat="1" applyFont="1" applyBorder="1" applyAlignment="1">
      <alignment horizontal="left" vertical="center" wrapText="1" indent="1"/>
    </xf>
    <xf numFmtId="49" fontId="3" fillId="0" borderId="10" xfId="0" applyNumberFormat="1" applyFont="1" applyBorder="1" applyAlignment="1">
      <alignment horizontal="left" vertical="center" wrapText="1" indent="1"/>
    </xf>
    <xf numFmtId="49" fontId="3" fillId="0" borderId="11" xfId="0" applyNumberFormat="1" applyFont="1" applyBorder="1" applyAlignment="1">
      <alignment horizontal="left" vertical="center" wrapText="1" indent="1"/>
    </xf>
    <xf numFmtId="49" fontId="3" fillId="0" borderId="12" xfId="0" applyNumberFormat="1" applyFont="1" applyBorder="1" applyAlignment="1">
      <alignment horizontal="left" vertical="center" wrapText="1" indent="1"/>
    </xf>
    <xf numFmtId="0" fontId="3" fillId="0" borderId="3" xfId="0" applyFont="1" applyBorder="1" applyAlignment="1">
      <alignment horizontal="center" vertical="center"/>
    </xf>
    <xf numFmtId="0" fontId="3" fillId="0" borderId="2" xfId="0" applyFont="1" applyBorder="1" applyAlignment="1">
      <alignment horizontal="center" vertical="center"/>
    </xf>
    <xf numFmtId="6" fontId="3" fillId="0" borderId="3" xfId="0" applyNumberFormat="1" applyFont="1" applyBorder="1" applyAlignment="1">
      <alignment horizontal="center" vertical="center"/>
    </xf>
    <xf numFmtId="6" fontId="3" fillId="0" borderId="2" xfId="0" applyNumberFormat="1" applyFont="1" applyBorder="1" applyAlignment="1">
      <alignment horizontal="center" vertical="center"/>
    </xf>
    <xf numFmtId="0" fontId="63"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35" fillId="2" borderId="28"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4" fillId="3" borderId="41" xfId="0" applyFont="1" applyFill="1" applyBorder="1" applyAlignment="1">
      <alignment horizontal="center" vertical="center"/>
    </xf>
    <xf numFmtId="0" fontId="36" fillId="36" borderId="27" xfId="0" applyFont="1" applyFill="1" applyBorder="1" applyAlignment="1">
      <alignment horizontal="center" vertical="center"/>
    </xf>
    <xf numFmtId="0" fontId="36" fillId="36" borderId="24" xfId="0" applyFont="1" applyFill="1" applyBorder="1" applyAlignment="1">
      <alignment horizontal="center" vertical="center"/>
    </xf>
    <xf numFmtId="0" fontId="36" fillId="36" borderId="26" xfId="0" applyFont="1" applyFill="1" applyBorder="1" applyAlignment="1">
      <alignment horizontal="center" vertical="center"/>
    </xf>
    <xf numFmtId="0" fontId="36" fillId="36" borderId="43" xfId="0" applyFont="1" applyFill="1" applyBorder="1" applyAlignment="1">
      <alignment horizontal="center" vertical="center"/>
    </xf>
    <xf numFmtId="0" fontId="36" fillId="36" borderId="44" xfId="0" applyFont="1" applyFill="1" applyBorder="1" applyAlignment="1">
      <alignment horizontal="center" vertical="center"/>
    </xf>
    <xf numFmtId="0" fontId="7" fillId="0" borderId="41" xfId="0" applyFont="1" applyFill="1" applyBorder="1" applyAlignment="1">
      <alignment horizontal="center" vertical="center"/>
    </xf>
    <xf numFmtId="0" fontId="35" fillId="2" borderId="41" xfId="0" applyFont="1" applyFill="1" applyBorder="1" applyAlignment="1">
      <alignment horizontal="center" vertical="center" wrapText="1"/>
    </xf>
    <xf numFmtId="0" fontId="37" fillId="36" borderId="41" xfId="0" applyFont="1" applyFill="1" applyBorder="1" applyAlignment="1">
      <alignment horizontal="center" vertical="center"/>
    </xf>
    <xf numFmtId="0" fontId="37" fillId="36" borderId="47" xfId="0" applyFont="1" applyFill="1" applyBorder="1" applyAlignment="1">
      <alignment horizontal="center" vertical="center"/>
    </xf>
    <xf numFmtId="0" fontId="30" fillId="0" borderId="23" xfId="0" applyFont="1" applyBorder="1" applyAlignment="1">
      <alignment horizontal="center" vertical="center" wrapText="1"/>
    </xf>
  </cellXfs>
  <cellStyles count="50">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urrency" xfId="1" builtinId="4"/>
    <cellStyle name="Currency 2" xfId="32"/>
    <cellStyle name="Explanatory Text 2" xfId="33"/>
    <cellStyle name="Good 2" xfId="34"/>
    <cellStyle name="Heading 1 2" xfId="35"/>
    <cellStyle name="Heading 2 2" xfId="36"/>
    <cellStyle name="Heading 3 2" xfId="37"/>
    <cellStyle name="Heading 4 2" xfId="38"/>
    <cellStyle name="Input 2" xfId="39"/>
    <cellStyle name="Linked Cell 2" xfId="40"/>
    <cellStyle name="Neutral 2" xfId="41"/>
    <cellStyle name="Normal" xfId="0" builtinId="0"/>
    <cellStyle name="Normal 2" xfId="42"/>
    <cellStyle name="Normal 3" xfId="4"/>
    <cellStyle name="Normal 4" xfId="3"/>
    <cellStyle name="Normal_MCO and FFS %" xfId="49"/>
    <cellStyle name="Note 2" xfId="43"/>
    <cellStyle name="Output 2" xfId="44"/>
    <cellStyle name="Percent" xfId="2" builtinId="5"/>
    <cellStyle name="Percent 2" xfId="45"/>
    <cellStyle name="Title" xfId="48" builtinId="15" customBuiltin="1"/>
    <cellStyle name="Total 2" xfId="46"/>
    <cellStyle name="Warning Text 2" xfId="47"/>
  </cellStyles>
  <dxfs count="0"/>
  <tableStyles count="0" defaultTableStyle="TableStyleMedium2" defaultPivotStyle="PivotStyleLight16"/>
  <colors>
    <mruColors>
      <color rgb="FFFF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16</xdr:row>
      <xdr:rowOff>15020</xdr:rowOff>
    </xdr:from>
    <xdr:to>
      <xdr:col>5</xdr:col>
      <xdr:colOff>580159</xdr:colOff>
      <xdr:row>18</xdr:row>
      <xdr:rowOff>602972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061740"/>
          <a:ext cx="4024399" cy="14261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
  <sheetViews>
    <sheetView showGridLines="0" tabSelected="1" zoomScale="60" zoomScaleNormal="60" workbookViewId="0">
      <selection activeCell="A2" sqref="A2:W2"/>
    </sheetView>
  </sheetViews>
  <sheetFormatPr defaultColWidth="8.85546875" defaultRowHeight="49.9" customHeight="1"/>
  <cols>
    <col min="1" max="1" width="15.28515625" style="182" customWidth="1"/>
    <col min="2" max="16384" width="8.85546875" style="182"/>
  </cols>
  <sheetData>
    <row r="1" spans="1:23" ht="33" customHeight="1" thickTop="1">
      <c r="A1" s="179"/>
      <c r="B1" s="180"/>
      <c r="C1" s="180"/>
      <c r="D1" s="180"/>
      <c r="E1" s="180"/>
      <c r="F1" s="180"/>
      <c r="G1" s="180"/>
      <c r="H1" s="180"/>
      <c r="I1" s="180"/>
      <c r="J1" s="180"/>
      <c r="K1" s="180"/>
      <c r="L1" s="180"/>
      <c r="M1" s="180"/>
      <c r="N1" s="180"/>
      <c r="O1" s="180"/>
      <c r="P1" s="180"/>
      <c r="Q1" s="180"/>
      <c r="R1" s="180"/>
      <c r="S1" s="180"/>
      <c r="T1" s="180"/>
      <c r="U1" s="180"/>
      <c r="V1" s="180"/>
      <c r="W1" s="181"/>
    </row>
    <row r="2" spans="1:23" ht="49.9" customHeight="1">
      <c r="A2" s="217" t="s">
        <v>161</v>
      </c>
      <c r="B2" s="218"/>
      <c r="C2" s="218"/>
      <c r="D2" s="218"/>
      <c r="E2" s="218"/>
      <c r="F2" s="218"/>
      <c r="G2" s="218"/>
      <c r="H2" s="218"/>
      <c r="I2" s="218"/>
      <c r="J2" s="218"/>
      <c r="K2" s="218"/>
      <c r="L2" s="218"/>
      <c r="M2" s="218"/>
      <c r="N2" s="218"/>
      <c r="O2" s="218"/>
      <c r="P2" s="218"/>
      <c r="Q2" s="218"/>
      <c r="R2" s="218"/>
      <c r="S2" s="218"/>
      <c r="T2" s="218"/>
      <c r="U2" s="218"/>
      <c r="V2" s="218"/>
      <c r="W2" s="219"/>
    </row>
    <row r="3" spans="1:23" ht="33" customHeight="1">
      <c r="A3" s="183"/>
      <c r="B3" s="184"/>
      <c r="C3" s="184"/>
      <c r="D3" s="184"/>
      <c r="E3" s="184"/>
      <c r="F3" s="184"/>
      <c r="G3" s="184"/>
      <c r="H3" s="184"/>
      <c r="I3" s="184"/>
      <c r="J3" s="184"/>
      <c r="K3" s="184"/>
      <c r="L3" s="184"/>
      <c r="M3" s="184"/>
      <c r="N3" s="184"/>
      <c r="O3" s="184"/>
      <c r="P3" s="184"/>
      <c r="Q3" s="184"/>
      <c r="R3" s="184"/>
      <c r="S3" s="184"/>
      <c r="T3" s="184"/>
      <c r="U3" s="184"/>
      <c r="V3" s="184"/>
      <c r="W3" s="185"/>
    </row>
    <row r="4" spans="1:23" ht="31.15" customHeight="1">
      <c r="A4" s="220" t="s">
        <v>175</v>
      </c>
      <c r="B4" s="221"/>
      <c r="C4" s="221"/>
      <c r="D4" s="221"/>
      <c r="E4" s="221"/>
      <c r="F4" s="221"/>
      <c r="G4" s="221"/>
      <c r="H4" s="221"/>
      <c r="I4" s="221"/>
      <c r="J4" s="221"/>
      <c r="K4" s="221"/>
      <c r="L4" s="221"/>
      <c r="M4" s="221"/>
      <c r="N4" s="221"/>
      <c r="O4" s="221"/>
      <c r="P4" s="221"/>
      <c r="Q4" s="221"/>
      <c r="R4" s="221"/>
      <c r="S4" s="221"/>
      <c r="T4" s="221"/>
      <c r="U4" s="221"/>
      <c r="V4" s="221"/>
      <c r="W4" s="222"/>
    </row>
    <row r="5" spans="1:23" ht="31.15" customHeight="1">
      <c r="A5" s="220"/>
      <c r="B5" s="221"/>
      <c r="C5" s="221"/>
      <c r="D5" s="221"/>
      <c r="E5" s="221"/>
      <c r="F5" s="221"/>
      <c r="G5" s="221"/>
      <c r="H5" s="221"/>
      <c r="I5" s="221"/>
      <c r="J5" s="221"/>
      <c r="K5" s="221"/>
      <c r="L5" s="221"/>
      <c r="M5" s="221"/>
      <c r="N5" s="221"/>
      <c r="O5" s="221"/>
      <c r="P5" s="221"/>
      <c r="Q5" s="221"/>
      <c r="R5" s="221"/>
      <c r="S5" s="221"/>
      <c r="T5" s="221"/>
      <c r="U5" s="221"/>
      <c r="V5" s="221"/>
      <c r="W5" s="222"/>
    </row>
    <row r="6" spans="1:23" s="189" customFormat="1" ht="33" customHeight="1">
      <c r="A6" s="186"/>
      <c r="B6" s="187"/>
      <c r="C6" s="187"/>
      <c r="D6" s="187"/>
      <c r="E6" s="187"/>
      <c r="F6" s="187"/>
      <c r="G6" s="187"/>
      <c r="H6" s="187"/>
      <c r="I6" s="187"/>
      <c r="J6" s="187"/>
      <c r="K6" s="187"/>
      <c r="L6" s="187"/>
      <c r="M6" s="187"/>
      <c r="N6" s="187"/>
      <c r="O6" s="187"/>
      <c r="P6" s="187"/>
      <c r="Q6" s="187"/>
      <c r="R6" s="187"/>
      <c r="S6" s="187"/>
      <c r="T6" s="187"/>
      <c r="U6" s="187"/>
      <c r="V6" s="187"/>
      <c r="W6" s="188"/>
    </row>
    <row r="7" spans="1:23" ht="49.9" customHeight="1">
      <c r="A7" s="223" t="s">
        <v>162</v>
      </c>
      <c r="B7" s="224"/>
      <c r="C7" s="224"/>
      <c r="D7" s="224"/>
      <c r="E7" s="224"/>
      <c r="F7" s="224"/>
      <c r="G7" s="224"/>
      <c r="H7" s="224"/>
      <c r="I7" s="224"/>
      <c r="J7" s="224"/>
      <c r="K7" s="224"/>
      <c r="L7" s="224"/>
      <c r="M7" s="224"/>
      <c r="N7" s="224"/>
      <c r="O7" s="224"/>
      <c r="P7" s="224"/>
      <c r="Q7" s="224"/>
      <c r="R7" s="224"/>
      <c r="S7" s="224"/>
      <c r="T7" s="224"/>
      <c r="U7" s="224"/>
      <c r="V7" s="224"/>
      <c r="W7" s="225"/>
    </row>
    <row r="8" spans="1:23" ht="49.9" customHeight="1">
      <c r="A8" s="223" t="s">
        <v>163</v>
      </c>
      <c r="B8" s="224"/>
      <c r="C8" s="224"/>
      <c r="D8" s="224"/>
      <c r="E8" s="224"/>
      <c r="F8" s="224"/>
      <c r="G8" s="224"/>
      <c r="H8" s="224"/>
      <c r="I8" s="224"/>
      <c r="J8" s="224"/>
      <c r="K8" s="224"/>
      <c r="L8" s="224"/>
      <c r="M8" s="224"/>
      <c r="N8" s="224"/>
      <c r="O8" s="224"/>
      <c r="P8" s="224"/>
      <c r="Q8" s="224"/>
      <c r="R8" s="224"/>
      <c r="S8" s="224"/>
      <c r="T8" s="224"/>
      <c r="U8" s="224"/>
      <c r="V8" s="224"/>
      <c r="W8" s="225"/>
    </row>
    <row r="9" spans="1:23" ht="33" customHeight="1">
      <c r="A9" s="190"/>
      <c r="B9" s="191"/>
      <c r="C9" s="191"/>
      <c r="D9" s="191"/>
      <c r="E9" s="191"/>
      <c r="F9" s="191"/>
      <c r="G9" s="191"/>
      <c r="H9" s="191"/>
      <c r="I9" s="191"/>
      <c r="J9" s="191"/>
      <c r="K9" s="191"/>
      <c r="L9" s="191"/>
      <c r="M9" s="191"/>
      <c r="N9" s="191"/>
      <c r="O9" s="191"/>
      <c r="P9" s="191"/>
      <c r="Q9" s="191"/>
      <c r="R9" s="191"/>
      <c r="S9" s="191"/>
      <c r="T9" s="191"/>
      <c r="U9" s="191"/>
      <c r="V9" s="191"/>
      <c r="W9" s="192"/>
    </row>
    <row r="10" spans="1:23" ht="49.9" customHeight="1">
      <c r="A10" s="223" t="s">
        <v>164</v>
      </c>
      <c r="B10" s="224"/>
      <c r="C10" s="224"/>
      <c r="D10" s="224"/>
      <c r="E10" s="224"/>
      <c r="F10" s="224"/>
      <c r="G10" s="224"/>
      <c r="H10" s="224"/>
      <c r="I10" s="224"/>
      <c r="J10" s="224"/>
      <c r="K10" s="224"/>
      <c r="L10" s="224"/>
      <c r="M10" s="224"/>
      <c r="N10" s="224"/>
      <c r="O10" s="224"/>
      <c r="P10" s="224"/>
      <c r="Q10" s="224"/>
      <c r="R10" s="224"/>
      <c r="S10" s="224"/>
      <c r="T10" s="224"/>
      <c r="U10" s="224"/>
      <c r="V10" s="224"/>
      <c r="W10" s="225"/>
    </row>
    <row r="11" spans="1:23" ht="33" customHeight="1">
      <c r="A11" s="183"/>
      <c r="B11" s="184"/>
      <c r="C11" s="184"/>
      <c r="D11" s="184"/>
      <c r="E11" s="184"/>
      <c r="F11" s="184"/>
      <c r="G11" s="184"/>
      <c r="H11" s="184"/>
      <c r="I11" s="184"/>
      <c r="J11" s="184"/>
      <c r="K11" s="184"/>
      <c r="L11" s="184"/>
      <c r="M11" s="184"/>
      <c r="N11" s="184"/>
      <c r="O11" s="184"/>
      <c r="P11" s="184"/>
      <c r="Q11" s="184"/>
      <c r="R11" s="184"/>
      <c r="S11" s="184"/>
      <c r="T11" s="184"/>
      <c r="U11" s="184"/>
      <c r="V11" s="184"/>
      <c r="W11" s="185"/>
    </row>
    <row r="12" spans="1:23" ht="49.9" customHeight="1">
      <c r="A12" s="226" t="s">
        <v>165</v>
      </c>
      <c r="B12" s="227"/>
      <c r="C12" s="227"/>
      <c r="D12" s="227"/>
      <c r="E12" s="227"/>
      <c r="F12" s="227"/>
      <c r="G12" s="227"/>
      <c r="H12" s="227"/>
      <c r="I12" s="227"/>
      <c r="J12" s="227"/>
      <c r="K12" s="227"/>
      <c r="L12" s="227"/>
      <c r="M12" s="227"/>
      <c r="N12" s="227"/>
      <c r="O12" s="227"/>
      <c r="P12" s="227"/>
      <c r="Q12" s="227"/>
      <c r="R12" s="227"/>
      <c r="S12" s="227"/>
      <c r="T12" s="227"/>
      <c r="U12" s="227"/>
      <c r="V12" s="227"/>
      <c r="W12" s="228"/>
    </row>
    <row r="13" spans="1:23" ht="33" customHeight="1">
      <c r="A13" s="183"/>
      <c r="B13" s="184"/>
      <c r="C13" s="184"/>
      <c r="D13" s="184"/>
      <c r="E13" s="184"/>
      <c r="F13" s="184"/>
      <c r="G13" s="184"/>
      <c r="H13" s="184"/>
      <c r="I13" s="184"/>
      <c r="J13" s="184"/>
      <c r="K13" s="184"/>
      <c r="L13" s="184"/>
      <c r="M13" s="184"/>
      <c r="N13" s="184"/>
      <c r="O13" s="184"/>
      <c r="P13" s="184"/>
      <c r="Q13" s="184"/>
      <c r="R13" s="184"/>
      <c r="S13" s="184"/>
      <c r="T13" s="184"/>
      <c r="U13" s="184"/>
      <c r="V13" s="184"/>
      <c r="W13" s="185"/>
    </row>
    <row r="14" spans="1:23" ht="36.75">
      <c r="A14" s="211" t="s">
        <v>176</v>
      </c>
      <c r="B14" s="212"/>
      <c r="C14" s="212"/>
      <c r="D14" s="212"/>
      <c r="E14" s="212"/>
      <c r="F14" s="212"/>
      <c r="G14" s="212"/>
      <c r="H14" s="212"/>
      <c r="I14" s="212"/>
      <c r="J14" s="212"/>
      <c r="K14" s="212"/>
      <c r="L14" s="212"/>
      <c r="M14" s="212"/>
      <c r="N14" s="212"/>
      <c r="O14" s="212"/>
      <c r="P14" s="212"/>
      <c r="Q14" s="212"/>
      <c r="R14" s="212"/>
      <c r="S14" s="212"/>
      <c r="T14" s="212"/>
      <c r="U14" s="212"/>
      <c r="V14" s="212"/>
      <c r="W14" s="213"/>
    </row>
    <row r="15" spans="1:23" ht="36.75">
      <c r="A15" s="193"/>
      <c r="B15" s="194"/>
      <c r="C15" s="194"/>
      <c r="D15" s="194"/>
      <c r="E15" s="194"/>
      <c r="F15" s="194"/>
      <c r="G15" s="194"/>
      <c r="H15" s="194"/>
      <c r="I15" s="194"/>
      <c r="J15" s="194"/>
      <c r="K15" s="194"/>
      <c r="L15" s="194"/>
      <c r="M15" s="194"/>
      <c r="N15" s="194"/>
      <c r="O15" s="194"/>
      <c r="P15" s="194"/>
      <c r="Q15" s="194"/>
      <c r="R15" s="194"/>
      <c r="S15" s="194"/>
      <c r="T15" s="194"/>
      <c r="U15" s="194"/>
      <c r="V15" s="194"/>
      <c r="W15" s="195"/>
    </row>
    <row r="16" spans="1:23" ht="33" customHeight="1">
      <c r="A16" s="196"/>
      <c r="B16" s="197"/>
      <c r="C16" s="197"/>
      <c r="D16" s="197"/>
      <c r="E16" s="197"/>
      <c r="F16" s="197"/>
      <c r="G16" s="197"/>
      <c r="H16" s="197"/>
      <c r="I16" s="197"/>
      <c r="J16" s="197"/>
      <c r="K16" s="197"/>
      <c r="L16" s="197"/>
      <c r="M16" s="197"/>
      <c r="N16" s="197"/>
      <c r="O16" s="197"/>
      <c r="P16" s="197"/>
      <c r="Q16" s="197"/>
      <c r="R16" s="197"/>
      <c r="S16" s="197"/>
      <c r="T16" s="197"/>
      <c r="U16" s="197"/>
      <c r="V16" s="197"/>
      <c r="W16" s="198"/>
    </row>
    <row r="17" spans="1:23" ht="33" customHeight="1">
      <c r="A17" s="196"/>
      <c r="B17" s="197"/>
      <c r="C17" s="197"/>
      <c r="D17" s="197"/>
      <c r="E17" s="197"/>
      <c r="F17" s="197"/>
      <c r="G17" s="197"/>
      <c r="H17" s="197"/>
      <c r="I17" s="197"/>
      <c r="J17" s="197"/>
      <c r="K17" s="197"/>
      <c r="L17" s="197"/>
      <c r="M17" s="197"/>
      <c r="N17" s="197"/>
      <c r="O17" s="197"/>
      <c r="P17" s="197"/>
      <c r="Q17" s="197"/>
      <c r="R17" s="197"/>
      <c r="S17" s="197"/>
      <c r="T17" s="197"/>
      <c r="U17" s="197"/>
      <c r="V17" s="197"/>
      <c r="W17" s="198"/>
    </row>
    <row r="18" spans="1:23" ht="33" customHeight="1">
      <c r="A18" s="196"/>
      <c r="B18" s="197"/>
      <c r="C18" s="197"/>
      <c r="D18" s="197"/>
      <c r="E18" s="197"/>
      <c r="F18" s="197"/>
      <c r="G18" s="197"/>
      <c r="H18" s="197"/>
      <c r="I18" s="197"/>
      <c r="J18" s="197"/>
      <c r="K18" s="197"/>
      <c r="L18" s="197"/>
      <c r="M18" s="197"/>
      <c r="N18" s="197"/>
      <c r="O18" s="197"/>
      <c r="P18" s="197"/>
      <c r="Q18" s="197"/>
      <c r="R18" s="197"/>
      <c r="S18" s="197"/>
      <c r="T18" s="197"/>
      <c r="U18" s="197"/>
      <c r="V18" s="197"/>
      <c r="W18" s="198"/>
    </row>
    <row r="19" spans="1:23" ht="49.9" customHeight="1" thickBot="1">
      <c r="A19" s="214" t="s">
        <v>166</v>
      </c>
      <c r="B19" s="215"/>
      <c r="C19" s="215"/>
      <c r="D19" s="215"/>
      <c r="E19" s="215"/>
      <c r="F19" s="215"/>
      <c r="G19" s="215"/>
      <c r="H19" s="215"/>
      <c r="I19" s="215"/>
      <c r="J19" s="215"/>
      <c r="K19" s="215"/>
      <c r="L19" s="215"/>
      <c r="M19" s="215"/>
      <c r="N19" s="215"/>
      <c r="O19" s="215"/>
      <c r="P19" s="215"/>
      <c r="Q19" s="215"/>
      <c r="R19" s="215"/>
      <c r="S19" s="215"/>
      <c r="T19" s="215"/>
      <c r="U19" s="215"/>
      <c r="V19" s="215"/>
      <c r="W19" s="216"/>
    </row>
    <row r="20" spans="1:23" ht="49.9" customHeight="1" thickTop="1"/>
  </sheetData>
  <mergeCells count="8">
    <mergeCell ref="A14:W14"/>
    <mergeCell ref="A19:W19"/>
    <mergeCell ref="A2:W2"/>
    <mergeCell ref="A4:W5"/>
    <mergeCell ref="A7:W7"/>
    <mergeCell ref="A8:W8"/>
    <mergeCell ref="A10:W10"/>
    <mergeCell ref="A12:W12"/>
  </mergeCells>
  <pageMargins left="0.4" right="0.4" top="0.4" bottom="0.5" header="0.3" footer="0.3"/>
  <pageSetup paperSize="5"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zoomScale="90" zoomScaleNormal="90" workbookViewId="0">
      <selection sqref="A1:G1"/>
    </sheetView>
  </sheetViews>
  <sheetFormatPr defaultColWidth="9.140625" defaultRowHeight="15"/>
  <cols>
    <col min="1" max="1" width="13.28515625" style="5" customWidth="1"/>
    <col min="2" max="2" width="14.42578125" style="5" customWidth="1"/>
    <col min="3" max="3" width="19.140625" style="5" bestFit="1" customWidth="1"/>
    <col min="4" max="4" width="91.42578125" style="5" customWidth="1"/>
    <col min="5" max="5" width="7" style="5" customWidth="1"/>
    <col min="6" max="6" width="15.42578125" style="5" bestFit="1" customWidth="1"/>
    <col min="7" max="7" width="10.7109375" style="5" bestFit="1" customWidth="1"/>
    <col min="8" max="8" width="247.28515625" style="5" bestFit="1" customWidth="1"/>
    <col min="9" max="16384" width="9.140625" style="5"/>
  </cols>
  <sheetData>
    <row r="1" spans="1:9" ht="24.75" customHeight="1">
      <c r="A1" s="229" t="s">
        <v>186</v>
      </c>
      <c r="B1" s="229"/>
      <c r="C1" s="229"/>
      <c r="D1" s="229"/>
      <c r="E1" s="229"/>
      <c r="F1" s="229"/>
      <c r="G1" s="229"/>
      <c r="H1" s="25"/>
      <c r="I1" s="7"/>
    </row>
    <row r="3" spans="1:9" s="24" customFormat="1" ht="17.25">
      <c r="A3" s="5" t="s">
        <v>174</v>
      </c>
      <c r="B3" s="5"/>
      <c r="C3" s="5"/>
      <c r="D3" s="5"/>
      <c r="E3" s="5"/>
      <c r="F3" s="5"/>
      <c r="G3" s="5"/>
    </row>
    <row r="4" spans="1:9" s="24" customFormat="1" ht="17.25">
      <c r="A4" s="206" t="s">
        <v>71</v>
      </c>
      <c r="B4" s="207" t="s">
        <v>169</v>
      </c>
      <c r="C4" s="207" t="s">
        <v>72</v>
      </c>
      <c r="D4" s="207" t="s">
        <v>73</v>
      </c>
      <c r="E4" s="5"/>
      <c r="F4" s="5"/>
      <c r="G4" s="5"/>
    </row>
    <row r="5" spans="1:9" s="24" customFormat="1" ht="17.25">
      <c r="A5" s="208"/>
      <c r="B5" s="5"/>
      <c r="C5" s="5"/>
      <c r="D5" s="5"/>
      <c r="E5" s="5"/>
      <c r="F5" s="5"/>
      <c r="G5" s="5"/>
    </row>
    <row r="6" spans="1:9" s="24" customFormat="1" ht="17.25">
      <c r="A6" s="209" t="s">
        <v>191</v>
      </c>
      <c r="B6" s="5"/>
      <c r="C6" s="5"/>
      <c r="D6" s="5"/>
      <c r="E6" s="5"/>
      <c r="F6" s="5"/>
      <c r="G6" s="5"/>
    </row>
    <row r="7" spans="1:9" s="24" customFormat="1" ht="17.25">
      <c r="A7" s="210" t="s">
        <v>170</v>
      </c>
      <c r="B7" s="5"/>
      <c r="C7" s="5"/>
      <c r="D7" s="5"/>
      <c r="E7" s="5"/>
      <c r="F7" s="5"/>
      <c r="G7" s="5"/>
    </row>
    <row r="8" spans="1:9" s="24" customFormat="1" ht="17.25">
      <c r="A8" s="210" t="s">
        <v>171</v>
      </c>
      <c r="B8" s="5"/>
      <c r="C8" s="5"/>
      <c r="D8" s="5"/>
      <c r="E8" s="5"/>
      <c r="F8" s="5"/>
      <c r="G8" s="5"/>
    </row>
    <row r="9" spans="1:9" s="24" customFormat="1" ht="17.25">
      <c r="A9" s="210" t="s">
        <v>172</v>
      </c>
      <c r="B9" s="5"/>
      <c r="C9" s="5"/>
      <c r="D9" s="5"/>
      <c r="E9" s="5"/>
      <c r="F9" s="5"/>
      <c r="G9" s="5"/>
    </row>
    <row r="10" spans="1:9" s="24" customFormat="1" ht="17.25">
      <c r="A10" s="206"/>
      <c r="B10" s="5"/>
      <c r="C10" s="5"/>
      <c r="D10" s="5"/>
      <c r="E10" s="5"/>
      <c r="F10" s="5"/>
      <c r="G10" s="5"/>
    </row>
    <row r="11" spans="1:9" s="24" customFormat="1" ht="17.25">
      <c r="A11" s="209" t="s">
        <v>192</v>
      </c>
      <c r="B11" s="5"/>
      <c r="C11" s="5"/>
      <c r="D11" s="5"/>
      <c r="E11" s="5"/>
      <c r="F11" s="5"/>
      <c r="G11" s="5"/>
    </row>
    <row r="12" spans="1:9" s="24" customFormat="1" ht="17.25">
      <c r="A12" s="206" t="s">
        <v>187</v>
      </c>
      <c r="B12" s="5"/>
      <c r="C12" s="5"/>
      <c r="D12" s="5"/>
      <c r="E12" s="5"/>
      <c r="F12" s="5"/>
      <c r="G12" s="5"/>
    </row>
    <row r="13" spans="1:9" s="24" customFormat="1" ht="17.25">
      <c r="A13" s="206" t="s">
        <v>188</v>
      </c>
      <c r="B13" s="5"/>
      <c r="C13" s="5"/>
      <c r="D13" s="5"/>
      <c r="E13" s="5"/>
      <c r="F13" s="5"/>
      <c r="G13" s="5"/>
    </row>
    <row r="14" spans="1:9" s="24" customFormat="1" ht="17.25">
      <c r="A14" s="206" t="s">
        <v>189</v>
      </c>
      <c r="B14" s="5"/>
      <c r="C14" s="5"/>
      <c r="D14" s="5"/>
      <c r="E14" s="5"/>
      <c r="F14" s="5"/>
      <c r="G14" s="5"/>
    </row>
    <row r="15" spans="1:9" s="24" customFormat="1" ht="17.25">
      <c r="A15" s="206" t="s">
        <v>173</v>
      </c>
      <c r="B15" s="5"/>
      <c r="C15" s="5"/>
      <c r="D15" s="5"/>
      <c r="E15" s="5"/>
      <c r="F15" s="5"/>
      <c r="G15" s="5"/>
    </row>
    <row r="16" spans="1:9">
      <c r="A16" s="8"/>
    </row>
    <row r="18" spans="1:7">
      <c r="A18" s="239" t="s">
        <v>0</v>
      </c>
      <c r="B18" s="240"/>
      <c r="C18" s="11" t="s">
        <v>190</v>
      </c>
      <c r="E18" s="12"/>
      <c r="F18" s="13"/>
      <c r="G18" s="14"/>
    </row>
    <row r="19" spans="1:7">
      <c r="A19" s="241">
        <v>150378593</v>
      </c>
      <c r="B19" s="242"/>
      <c r="C19" s="9">
        <f>A19*0.1</f>
        <v>15037859.300000001</v>
      </c>
      <c r="E19" s="12"/>
      <c r="F19" s="13"/>
      <c r="G19" s="14"/>
    </row>
    <row r="20" spans="1:7">
      <c r="A20" s="6"/>
      <c r="B20" s="6"/>
      <c r="C20" s="10"/>
      <c r="E20" s="12"/>
      <c r="F20" s="15"/>
      <c r="G20" s="12"/>
    </row>
    <row r="21" spans="1:7">
      <c r="A21" s="239" t="s">
        <v>1</v>
      </c>
      <c r="B21" s="240"/>
      <c r="C21" s="11" t="s">
        <v>190</v>
      </c>
    </row>
    <row r="22" spans="1:7">
      <c r="A22" s="241">
        <v>148641716</v>
      </c>
      <c r="B22" s="242"/>
      <c r="C22" s="9">
        <f>A22*0.1</f>
        <v>14864171.600000001</v>
      </c>
    </row>
    <row r="24" spans="1:7" ht="15" customHeight="1">
      <c r="A24" s="230" t="s">
        <v>21</v>
      </c>
      <c r="B24" s="231"/>
      <c r="C24" s="231"/>
      <c r="D24" s="231"/>
      <c r="E24" s="231"/>
      <c r="F24" s="231"/>
      <c r="G24" s="232"/>
    </row>
    <row r="25" spans="1:7">
      <c r="A25" s="233"/>
      <c r="B25" s="234"/>
      <c r="C25" s="234"/>
      <c r="D25" s="234"/>
      <c r="E25" s="234"/>
      <c r="F25" s="234"/>
      <c r="G25" s="235"/>
    </row>
    <row r="26" spans="1:7">
      <c r="A26" s="233"/>
      <c r="B26" s="234"/>
      <c r="C26" s="234"/>
      <c r="D26" s="234"/>
      <c r="E26" s="234"/>
      <c r="F26" s="234"/>
      <c r="G26" s="235"/>
    </row>
    <row r="27" spans="1:7">
      <c r="A27" s="233"/>
      <c r="B27" s="234"/>
      <c r="C27" s="234"/>
      <c r="D27" s="234"/>
      <c r="E27" s="234"/>
      <c r="F27" s="234"/>
      <c r="G27" s="235"/>
    </row>
    <row r="28" spans="1:7">
      <c r="A28" s="233"/>
      <c r="B28" s="234"/>
      <c r="C28" s="234"/>
      <c r="D28" s="234"/>
      <c r="E28" s="234"/>
      <c r="F28" s="234"/>
      <c r="G28" s="235"/>
    </row>
    <row r="29" spans="1:7">
      <c r="A29" s="233"/>
      <c r="B29" s="234"/>
      <c r="C29" s="234"/>
      <c r="D29" s="234"/>
      <c r="E29" s="234"/>
      <c r="F29" s="234"/>
      <c r="G29" s="235"/>
    </row>
    <row r="30" spans="1:7">
      <c r="A30" s="233"/>
      <c r="B30" s="234"/>
      <c r="C30" s="234"/>
      <c r="D30" s="234"/>
      <c r="E30" s="234"/>
      <c r="F30" s="234"/>
      <c r="G30" s="235"/>
    </row>
    <row r="31" spans="1:7">
      <c r="A31" s="233"/>
      <c r="B31" s="234"/>
      <c r="C31" s="234"/>
      <c r="D31" s="234"/>
      <c r="E31" s="234"/>
      <c r="F31" s="234"/>
      <c r="G31" s="235"/>
    </row>
    <row r="32" spans="1:7">
      <c r="A32" s="233"/>
      <c r="B32" s="234"/>
      <c r="C32" s="234"/>
      <c r="D32" s="234"/>
      <c r="E32" s="234"/>
      <c r="F32" s="234"/>
      <c r="G32" s="235"/>
    </row>
    <row r="33" spans="1:7">
      <c r="A33" s="233"/>
      <c r="B33" s="234"/>
      <c r="C33" s="234"/>
      <c r="D33" s="234"/>
      <c r="E33" s="234"/>
      <c r="F33" s="234"/>
      <c r="G33" s="235"/>
    </row>
    <row r="34" spans="1:7">
      <c r="A34" s="236"/>
      <c r="B34" s="237"/>
      <c r="C34" s="237"/>
      <c r="D34" s="237"/>
      <c r="E34" s="237"/>
      <c r="F34" s="237"/>
      <c r="G34" s="238"/>
    </row>
    <row r="36" spans="1:7" ht="15.75">
      <c r="A36" s="3" t="s">
        <v>20</v>
      </c>
      <c r="B36" s="4" t="s">
        <v>168</v>
      </c>
    </row>
    <row r="37" spans="1:7" ht="15.75">
      <c r="A37" s="3" t="s">
        <v>19</v>
      </c>
      <c r="B37" s="4" t="s">
        <v>154</v>
      </c>
    </row>
  </sheetData>
  <mergeCells count="6">
    <mergeCell ref="A1:G1"/>
    <mergeCell ref="A24:G34"/>
    <mergeCell ref="A18:B18"/>
    <mergeCell ref="A19:B19"/>
    <mergeCell ref="A21:B21"/>
    <mergeCell ref="A22:B22"/>
  </mergeCells>
  <pageMargins left="0.5" right="0.5" top="0.5" bottom="0.5" header="0.3" footer="0.3"/>
  <pageSetup paperSize="5" scale="8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44"/>
  <sheetViews>
    <sheetView zoomScale="60" zoomScaleNormal="60" workbookViewId="0">
      <selection sqref="A1:U1"/>
    </sheetView>
  </sheetViews>
  <sheetFormatPr defaultColWidth="9.140625" defaultRowHeight="19.5"/>
  <cols>
    <col min="1" max="1" width="14.28515625" style="1" bestFit="1" customWidth="1"/>
    <col min="2" max="2" width="15.5703125" style="1" bestFit="1" customWidth="1"/>
    <col min="3" max="3" width="121.28515625" style="1" bestFit="1" customWidth="1"/>
    <col min="4" max="4" width="20.85546875" style="1" customWidth="1"/>
    <col min="5" max="5" width="25.140625" style="1" customWidth="1"/>
    <col min="6" max="6" width="21.7109375" style="1" customWidth="1"/>
    <col min="7" max="7" width="21.5703125" style="1" bestFit="1" customWidth="1"/>
    <col min="8" max="8" width="10.42578125" style="1" customWidth="1"/>
    <col min="9" max="9" width="19.5703125" style="1" customWidth="1"/>
    <col min="10" max="10" width="27.7109375" style="1" customWidth="1"/>
    <col min="11" max="11" width="19" style="1" customWidth="1"/>
    <col min="12" max="12" width="19.85546875" style="1" customWidth="1"/>
    <col min="13" max="13" width="35.140625" style="1" customWidth="1"/>
    <col min="14" max="14" width="12.7109375" style="1" customWidth="1"/>
    <col min="15" max="15" width="20.140625" style="17" customWidth="1"/>
    <col min="16" max="16" width="24.140625" style="17" customWidth="1"/>
    <col min="17" max="17" width="2.42578125" style="1" customWidth="1"/>
    <col min="18" max="18" width="17.5703125" style="1" customWidth="1"/>
    <col min="19" max="19" width="19.5703125" style="1" customWidth="1"/>
    <col min="20" max="20" width="2.7109375" style="1" customWidth="1"/>
    <col min="21" max="21" width="20.140625" style="1" customWidth="1"/>
    <col min="22" max="22" width="9.140625" style="1"/>
    <col min="23" max="23" width="9.140625" style="1" customWidth="1"/>
    <col min="24" max="16384" width="9.140625" style="1"/>
  </cols>
  <sheetData>
    <row r="1" spans="1:21" s="2" customFormat="1" ht="39.6" customHeight="1">
      <c r="A1" s="243" t="s">
        <v>177</v>
      </c>
      <c r="B1" s="243"/>
      <c r="C1" s="243"/>
      <c r="D1" s="243"/>
      <c r="E1" s="243"/>
      <c r="F1" s="243"/>
      <c r="G1" s="243"/>
      <c r="H1" s="243"/>
      <c r="I1" s="243"/>
      <c r="J1" s="243"/>
      <c r="K1" s="243"/>
      <c r="L1" s="243"/>
      <c r="M1" s="243"/>
      <c r="N1" s="243"/>
      <c r="O1" s="243"/>
      <c r="P1" s="243"/>
      <c r="Q1" s="243"/>
      <c r="R1" s="243"/>
      <c r="S1" s="243"/>
      <c r="T1" s="243"/>
      <c r="U1" s="243"/>
    </row>
    <row r="2" spans="1:21" s="2" customFormat="1" ht="31.5">
      <c r="A2" s="19"/>
      <c r="B2" s="19"/>
      <c r="C2" s="19"/>
      <c r="D2" s="19"/>
      <c r="E2" s="19"/>
      <c r="F2" s="19"/>
      <c r="G2" s="19"/>
      <c r="H2" s="19"/>
      <c r="I2" s="19"/>
      <c r="J2" s="19"/>
      <c r="K2" s="19"/>
      <c r="L2" s="19"/>
      <c r="M2" s="19"/>
      <c r="O2" s="17"/>
      <c r="P2" s="17"/>
    </row>
    <row r="3" spans="1:21" s="2" customFormat="1" ht="21">
      <c r="E3" s="31">
        <v>0.5</v>
      </c>
      <c r="F3" s="32" t="s">
        <v>157</v>
      </c>
      <c r="G3" s="33" t="s">
        <v>69</v>
      </c>
      <c r="O3" s="17"/>
      <c r="P3" s="17"/>
    </row>
    <row r="4" spans="1:21" s="2" customFormat="1" ht="21">
      <c r="E4" s="247" t="s">
        <v>179</v>
      </c>
      <c r="F4" s="34">
        <f>'2 - NOTES '!C19*E3</f>
        <v>7518929.6500000004</v>
      </c>
      <c r="G4" s="34">
        <f>F4-D37</f>
        <v>4924898.9207499996</v>
      </c>
      <c r="H4" s="244" t="s">
        <v>180</v>
      </c>
      <c r="I4" s="245"/>
      <c r="J4" s="245"/>
      <c r="K4" s="245"/>
      <c r="L4" s="245"/>
      <c r="M4" s="246"/>
      <c r="O4" s="17"/>
      <c r="P4" s="17"/>
    </row>
    <row r="5" spans="1:21" s="2" customFormat="1" ht="21">
      <c r="E5" s="248"/>
      <c r="F5" s="35"/>
      <c r="G5" s="35"/>
      <c r="O5" s="17"/>
      <c r="P5" s="17"/>
    </row>
    <row r="6" spans="1:21" s="2" customFormat="1" ht="21">
      <c r="E6" s="36"/>
      <c r="F6" s="35"/>
      <c r="G6" s="35"/>
      <c r="O6" s="17"/>
      <c r="P6" s="17"/>
    </row>
    <row r="7" spans="1:21" s="2" customFormat="1" ht="21">
      <c r="A7" s="37"/>
      <c r="B7" s="37"/>
      <c r="C7" s="37"/>
      <c r="D7" s="76" t="s">
        <v>10</v>
      </c>
      <c r="E7" s="250" t="s">
        <v>62</v>
      </c>
      <c r="F7" s="251"/>
      <c r="G7" s="252"/>
      <c r="H7" s="253" t="s">
        <v>63</v>
      </c>
      <c r="I7" s="251"/>
      <c r="J7" s="254"/>
      <c r="K7" s="250" t="s">
        <v>61</v>
      </c>
      <c r="L7" s="251"/>
      <c r="M7" s="251"/>
      <c r="O7" s="17"/>
      <c r="P7" s="17"/>
    </row>
    <row r="8" spans="1:21" s="2" customFormat="1" ht="21">
      <c r="A8" s="122"/>
      <c r="B8" s="122"/>
      <c r="C8" s="123"/>
      <c r="D8" s="124">
        <v>0.34499999999999997</v>
      </c>
      <c r="E8" s="64" t="s">
        <v>11</v>
      </c>
      <c r="F8" s="64" t="s">
        <v>13</v>
      </c>
      <c r="G8" s="64" t="s">
        <v>12</v>
      </c>
      <c r="H8" s="64" t="s">
        <v>18</v>
      </c>
      <c r="I8" s="64" t="s">
        <v>14</v>
      </c>
      <c r="J8" s="64" t="s">
        <v>15</v>
      </c>
      <c r="K8" s="64" t="s">
        <v>16</v>
      </c>
      <c r="L8" s="64" t="s">
        <v>17</v>
      </c>
      <c r="M8" s="64" t="s">
        <v>59</v>
      </c>
      <c r="O8" s="17"/>
      <c r="P8" s="17"/>
    </row>
    <row r="9" spans="1:21" s="38" customFormat="1" ht="63.75" thickBot="1">
      <c r="A9" s="249" t="s">
        <v>46</v>
      </c>
      <c r="B9" s="249" t="s">
        <v>47</v>
      </c>
      <c r="C9" s="65" t="s">
        <v>7</v>
      </c>
      <c r="D9" s="78" t="s">
        <v>155</v>
      </c>
      <c r="E9" s="65" t="s">
        <v>151</v>
      </c>
      <c r="F9" s="65" t="s">
        <v>3</v>
      </c>
      <c r="G9" s="65" t="s">
        <v>64</v>
      </c>
      <c r="H9" s="65" t="s">
        <v>9</v>
      </c>
      <c r="I9" s="65" t="s">
        <v>2</v>
      </c>
      <c r="J9" s="65" t="s">
        <v>4</v>
      </c>
      <c r="K9" s="65" t="s">
        <v>5</v>
      </c>
      <c r="L9" s="65" t="s">
        <v>181</v>
      </c>
      <c r="M9" s="66" t="s">
        <v>182</v>
      </c>
      <c r="O9" s="45"/>
      <c r="P9" s="45"/>
    </row>
    <row r="10" spans="1:21" s="39" customFormat="1" ht="105">
      <c r="A10" s="249"/>
      <c r="B10" s="249"/>
      <c r="C10" s="67" t="s">
        <v>150</v>
      </c>
      <c r="D10" s="68" t="s">
        <v>156</v>
      </c>
      <c r="E10" s="68" t="s">
        <v>65</v>
      </c>
      <c r="F10" s="94" t="s">
        <v>152</v>
      </c>
      <c r="G10" s="68" t="s">
        <v>75</v>
      </c>
      <c r="H10" s="68" t="s">
        <v>65</v>
      </c>
      <c r="I10" s="68" t="s">
        <v>66</v>
      </c>
      <c r="J10" s="94" t="s">
        <v>144</v>
      </c>
      <c r="K10" s="68" t="s">
        <v>67</v>
      </c>
      <c r="L10" s="68" t="s">
        <v>79</v>
      </c>
      <c r="M10" s="68" t="s">
        <v>68</v>
      </c>
      <c r="O10" s="46" t="s">
        <v>54</v>
      </c>
      <c r="P10" s="47" t="s">
        <v>55</v>
      </c>
      <c r="Q10" s="48"/>
      <c r="R10" s="48" t="s">
        <v>80</v>
      </c>
      <c r="S10" s="48" t="s">
        <v>81</v>
      </c>
      <c r="T10" s="48"/>
      <c r="U10" s="49"/>
    </row>
    <row r="11" spans="1:21" s="114" customFormat="1" ht="34.9" customHeight="1">
      <c r="A11" s="113">
        <v>112705203</v>
      </c>
      <c r="B11" s="112">
        <v>1851344162</v>
      </c>
      <c r="C11" s="177" t="s">
        <v>148</v>
      </c>
      <c r="D11" s="138">
        <f xml:space="preserve"> ($F$4 * D$8) / 26</f>
        <v>99770.412663461539</v>
      </c>
      <c r="E11" s="139">
        <f>'6 - IP_MCO and FFS %'!F3</f>
        <v>3367843.26</v>
      </c>
      <c r="F11" s="140">
        <f>E11/AVERAGE($E$11:$E$36)</f>
        <v>6.6028558364514517E-2</v>
      </c>
      <c r="G11" s="140">
        <f>IF(F11&gt;=2,2,F11)</f>
        <v>6.6028558364514517E-2</v>
      </c>
      <c r="H11" s="141">
        <v>0.86</v>
      </c>
      <c r="I11" s="142">
        <f xml:space="preserve"> (1 - H11)</f>
        <v>0.14000000000000001</v>
      </c>
      <c r="J11" s="140">
        <f xml:space="preserve"> I11 / (AVERAGE($I$11:$I$36))</f>
        <v>0.41791044776119407</v>
      </c>
      <c r="K11" s="140">
        <f xml:space="preserve"> G11 * J11</f>
        <v>2.7594024391140396E-2</v>
      </c>
      <c r="L11" s="143">
        <f>$G$4 * (K11/SUM($K$11:$K$36)) + D11</f>
        <v>109430.29055718367</v>
      </c>
      <c r="M11" s="144">
        <f xml:space="preserve"> L11 / E11</f>
        <v>3.2492691051537737E-2</v>
      </c>
      <c r="O11" s="145">
        <f xml:space="preserve"> '6 - IP_MCO and FFS %'!G3</f>
        <v>0.15302048825158213</v>
      </c>
      <c r="P11" s="146">
        <f>100%-O11</f>
        <v>0.8469795117484179</v>
      </c>
      <c r="Q11" s="39"/>
      <c r="R11" s="59">
        <f>$L11*O11</f>
        <v>16745.076490572745</v>
      </c>
      <c r="S11" s="59">
        <f>$L11*P11</f>
        <v>92685.214066610934</v>
      </c>
      <c r="U11" s="115"/>
    </row>
    <row r="12" spans="1:21" s="39" customFormat="1" ht="34.9" customHeight="1">
      <c r="A12" s="95" t="s">
        <v>96</v>
      </c>
      <c r="B12" s="95" t="s">
        <v>117</v>
      </c>
      <c r="C12" s="93" t="s">
        <v>70</v>
      </c>
      <c r="D12" s="69">
        <f t="shared" ref="D12:D36" si="0" xml:space="preserve"> ($F$4 * D$8) / 26</f>
        <v>99770.412663461539</v>
      </c>
      <c r="E12" s="121">
        <f xml:space="preserve"> '6 - IP_MCO and FFS %'!F4</f>
        <v>2240634.31</v>
      </c>
      <c r="F12" s="70">
        <f t="shared" ref="F12:F36" si="1">E12/AVERAGE($E$11:$E$36)</f>
        <v>4.3928960432490179E-2</v>
      </c>
      <c r="G12" s="140">
        <f t="shared" ref="G12:G36" si="2">IF(F12&gt;=2,2,F12)</f>
        <v>4.3928960432490179E-2</v>
      </c>
      <c r="H12" s="58">
        <v>0.84</v>
      </c>
      <c r="I12" s="142">
        <f t="shared" ref="I12:I36" si="3" xml:space="preserve"> (1 - H12)</f>
        <v>0.16000000000000003</v>
      </c>
      <c r="J12" s="140">
        <f t="shared" ref="J12:J36" si="4" xml:space="preserve"> I12 / (AVERAGE($I$11:$I$36))</f>
        <v>0.47761194029850751</v>
      </c>
      <c r="K12" s="140">
        <f t="shared" ref="K12:K36" si="5" xml:space="preserve"> G12 * J12</f>
        <v>2.0980996027457999E-2</v>
      </c>
      <c r="L12" s="143">
        <f t="shared" ref="L12:L36" si="6">$G$4 * (K12/SUM($K$11:$K$36)) + D12</f>
        <v>107115.25866493807</v>
      </c>
      <c r="M12" s="71">
        <f xml:space="preserve"> L12 / E12</f>
        <v>4.7805774546466742E-2</v>
      </c>
      <c r="O12" s="147">
        <f>'6 - IP_MCO and FFS %'!G4</f>
        <v>0.23546203307044783</v>
      </c>
      <c r="P12" s="146">
        <f>100%-O12</f>
        <v>0.76453796692955223</v>
      </c>
      <c r="R12" s="59">
        <f t="shared" ref="R12:R35" si="7">$L12*O12</f>
        <v>25221.576578113221</v>
      </c>
      <c r="S12" s="59">
        <f t="shared" ref="S12:S35" si="8">$L12*P12</f>
        <v>81893.682086824847</v>
      </c>
      <c r="U12" s="57"/>
    </row>
    <row r="13" spans="1:21" s="39" customFormat="1" ht="34.9" customHeight="1">
      <c r="A13" s="95" t="s">
        <v>97</v>
      </c>
      <c r="B13" s="95" t="s">
        <v>118</v>
      </c>
      <c r="C13" s="93" t="s">
        <v>44</v>
      </c>
      <c r="D13" s="69">
        <f t="shared" si="0"/>
        <v>99770.412663461539</v>
      </c>
      <c r="E13" s="121">
        <f xml:space="preserve"> '6 - IP_MCO and FFS %'!F5</f>
        <v>9416589.1999999993</v>
      </c>
      <c r="F13" s="70">
        <f t="shared" si="1"/>
        <v>0.18461779886598911</v>
      </c>
      <c r="G13" s="140">
        <f t="shared" si="2"/>
        <v>0.18461779886598911</v>
      </c>
      <c r="H13" s="58">
        <v>0.14000000000000001</v>
      </c>
      <c r="I13" s="142">
        <f t="shared" si="3"/>
        <v>0.86</v>
      </c>
      <c r="J13" s="140">
        <f t="shared" si="4"/>
        <v>2.5671641791044775</v>
      </c>
      <c r="K13" s="140">
        <f t="shared" si="5"/>
        <v>0.47394420007388249</v>
      </c>
      <c r="L13" s="143">
        <f t="shared" si="6"/>
        <v>265684.70759397739</v>
      </c>
      <c r="M13" s="71">
        <f t="shared" ref="M13:M34" si="9" xml:space="preserve"> L13 / E13</f>
        <v>2.8214537339483536E-2</v>
      </c>
      <c r="O13" s="61">
        <f>'6 - IP_MCO and FFS %'!G5</f>
        <v>0.24614985115842156</v>
      </c>
      <c r="P13" s="62">
        <f t="shared" ref="P13:P33" si="10">100%-O13</f>
        <v>0.75385014884157842</v>
      </c>
      <c r="R13" s="59">
        <f t="shared" si="7"/>
        <v>65398.251229326292</v>
      </c>
      <c r="S13" s="59">
        <f t="shared" si="8"/>
        <v>200286.45636465109</v>
      </c>
      <c r="U13" s="57"/>
    </row>
    <row r="14" spans="1:21" s="39" customFormat="1" ht="34.9" customHeight="1">
      <c r="A14" s="95" t="s">
        <v>98</v>
      </c>
      <c r="B14" s="95" t="s">
        <v>119</v>
      </c>
      <c r="C14" s="93" t="s">
        <v>39</v>
      </c>
      <c r="D14" s="69">
        <f t="shared" si="0"/>
        <v>99770.412663461539</v>
      </c>
      <c r="E14" s="121">
        <f xml:space="preserve"> '6 - IP_MCO and FFS %'!F6</f>
        <v>20653140.5</v>
      </c>
      <c r="F14" s="70">
        <f t="shared" si="1"/>
        <v>0.40491703076311475</v>
      </c>
      <c r="G14" s="140">
        <f t="shared" si="2"/>
        <v>0.40491703076311475</v>
      </c>
      <c r="H14" s="171">
        <v>0.65</v>
      </c>
      <c r="I14" s="142">
        <f t="shared" si="3"/>
        <v>0.35</v>
      </c>
      <c r="J14" s="140">
        <f t="shared" si="4"/>
        <v>1.044776119402985</v>
      </c>
      <c r="K14" s="140">
        <f t="shared" si="5"/>
        <v>0.42304764408086609</v>
      </c>
      <c r="L14" s="143">
        <f t="shared" si="6"/>
        <v>247867.28056215285</v>
      </c>
      <c r="M14" s="71">
        <f t="shared" si="9"/>
        <v>1.2001432932785832E-2</v>
      </c>
      <c r="O14" s="61">
        <f>'6 - IP_MCO and FFS %'!G6</f>
        <v>0.17958019314302345</v>
      </c>
      <c r="P14" s="62">
        <f t="shared" si="10"/>
        <v>0.82041980685697657</v>
      </c>
      <c r="R14" s="59">
        <f t="shared" si="7"/>
        <v>44512.054117187392</v>
      </c>
      <c r="S14" s="59">
        <f t="shared" si="8"/>
        <v>203355.22644496546</v>
      </c>
      <c r="U14" s="57"/>
    </row>
    <row r="15" spans="1:21" ht="34.9" customHeight="1">
      <c r="A15" s="95" t="s">
        <v>99</v>
      </c>
      <c r="B15" s="95" t="s">
        <v>120</v>
      </c>
      <c r="C15" s="93" t="s">
        <v>32</v>
      </c>
      <c r="D15" s="69">
        <f t="shared" si="0"/>
        <v>99770.412663461539</v>
      </c>
      <c r="E15" s="121">
        <f xml:space="preserve"> '6 - IP_MCO and FFS %'!F7</f>
        <v>13959219.18</v>
      </c>
      <c r="F15" s="70">
        <f t="shared" si="1"/>
        <v>0.27367874547394483</v>
      </c>
      <c r="G15" s="140">
        <f t="shared" si="2"/>
        <v>0.27367874547394483</v>
      </c>
      <c r="H15" s="171">
        <v>0.8</v>
      </c>
      <c r="I15" s="142">
        <f t="shared" si="3"/>
        <v>0.19999999999999996</v>
      </c>
      <c r="J15" s="140">
        <f t="shared" si="4"/>
        <v>0.59701492537313416</v>
      </c>
      <c r="K15" s="140">
        <f t="shared" si="5"/>
        <v>0.16339029580534015</v>
      </c>
      <c r="L15" s="143">
        <f t="shared" si="6"/>
        <v>156968.6771908162</v>
      </c>
      <c r="M15" s="71">
        <f t="shared" si="9"/>
        <v>1.124480353569577E-2</v>
      </c>
      <c r="O15" s="61">
        <f>'6 - IP_MCO and FFS %'!G7</f>
        <v>0.22107920723972757</v>
      </c>
      <c r="P15" s="62">
        <f t="shared" si="10"/>
        <v>0.77892079276027237</v>
      </c>
      <c r="R15" s="59">
        <f t="shared" si="7"/>
        <v>34702.510714814351</v>
      </c>
      <c r="S15" s="59">
        <f t="shared" si="8"/>
        <v>122266.16647600185</v>
      </c>
      <c r="U15" s="50"/>
    </row>
    <row r="16" spans="1:21" ht="34.9" customHeight="1">
      <c r="A16" s="95" t="s">
        <v>100</v>
      </c>
      <c r="B16" s="95" t="s">
        <v>121</v>
      </c>
      <c r="C16" s="93" t="s">
        <v>40</v>
      </c>
      <c r="D16" s="69">
        <f t="shared" si="0"/>
        <v>99770.412663461539</v>
      </c>
      <c r="E16" s="121">
        <f xml:space="preserve"> '6 - IP_MCO and FFS %'!F8</f>
        <v>2274590.1799999997</v>
      </c>
      <c r="F16" s="70">
        <f t="shared" si="1"/>
        <v>4.4594685340398406E-2</v>
      </c>
      <c r="G16" s="140">
        <f t="shared" si="2"/>
        <v>4.4594685340398406E-2</v>
      </c>
      <c r="H16" s="171">
        <v>0.59</v>
      </c>
      <c r="I16" s="142">
        <f t="shared" si="3"/>
        <v>0.41000000000000003</v>
      </c>
      <c r="J16" s="140">
        <f t="shared" si="4"/>
        <v>1.2238805970149254</v>
      </c>
      <c r="K16" s="140">
        <f t="shared" si="5"/>
        <v>5.4578570118099544E-2</v>
      </c>
      <c r="L16" s="143">
        <f t="shared" si="6"/>
        <v>118876.80742058395</v>
      </c>
      <c r="M16" s="71">
        <f xml:space="preserve"> L16 / E16</f>
        <v>5.226295640675982E-2</v>
      </c>
      <c r="O16" s="61">
        <f>'6 - IP_MCO and FFS %'!G8</f>
        <v>0.24740336300933125</v>
      </c>
      <c r="P16" s="62">
        <f t="shared" si="10"/>
        <v>0.7525966369906687</v>
      </c>
      <c r="R16" s="59">
        <f t="shared" si="7"/>
        <v>29410.521939665094</v>
      </c>
      <c r="S16" s="59">
        <f t="shared" si="8"/>
        <v>89466.285480918858</v>
      </c>
      <c r="U16" s="50"/>
    </row>
    <row r="17" spans="1:21" ht="34.9" customHeight="1">
      <c r="A17" s="95" t="s">
        <v>86</v>
      </c>
      <c r="B17" s="95" t="s">
        <v>85</v>
      </c>
      <c r="C17" s="178" t="s">
        <v>87</v>
      </c>
      <c r="D17" s="69">
        <f t="shared" si="0"/>
        <v>99770.412663461539</v>
      </c>
      <c r="E17" s="121">
        <f xml:space="preserve"> '6 - IP_MCO and FFS %'!F9</f>
        <v>61897200.710000001</v>
      </c>
      <c r="F17" s="70">
        <f t="shared" si="1"/>
        <v>1.2135312169130772</v>
      </c>
      <c r="G17" s="140">
        <f t="shared" si="2"/>
        <v>1.2135312169130772</v>
      </c>
      <c r="H17" s="171">
        <v>0.83</v>
      </c>
      <c r="I17" s="142">
        <f t="shared" si="3"/>
        <v>0.17000000000000004</v>
      </c>
      <c r="J17" s="140">
        <f t="shared" si="4"/>
        <v>0.50746268656716431</v>
      </c>
      <c r="K17" s="140">
        <f t="shared" si="5"/>
        <v>0.61582181156783034</v>
      </c>
      <c r="L17" s="143">
        <f t="shared" si="6"/>
        <v>315351.99727443862</v>
      </c>
      <c r="M17" s="71">
        <f xml:space="preserve"> L17 / E17</f>
        <v>5.0947699355892023E-3</v>
      </c>
      <c r="O17" s="61">
        <f>'6 - IP_MCO and FFS %'!G9</f>
        <v>0.49528647803691606</v>
      </c>
      <c r="P17" s="62">
        <f t="shared" si="10"/>
        <v>0.50471352196308394</v>
      </c>
      <c r="R17" s="59">
        <f t="shared" si="7"/>
        <v>156189.58007196386</v>
      </c>
      <c r="S17" s="59">
        <f t="shared" si="8"/>
        <v>159162.41720247475</v>
      </c>
      <c r="U17" s="50"/>
    </row>
    <row r="18" spans="1:21" ht="34.9" customHeight="1">
      <c r="A18" s="95" t="s">
        <v>101</v>
      </c>
      <c r="B18" s="95" t="s">
        <v>122</v>
      </c>
      <c r="C18" s="93" t="s">
        <v>41</v>
      </c>
      <c r="D18" s="69">
        <f t="shared" si="0"/>
        <v>99770.412663461539</v>
      </c>
      <c r="E18" s="121">
        <f xml:space="preserve"> '6 - IP_MCO and FFS %'!F10</f>
        <v>292881205.44999999</v>
      </c>
      <c r="F18" s="70">
        <f t="shared" si="1"/>
        <v>5.7421092001546095</v>
      </c>
      <c r="G18" s="140">
        <f t="shared" si="2"/>
        <v>2</v>
      </c>
      <c r="H18" s="171">
        <v>0.34</v>
      </c>
      <c r="I18" s="142">
        <f t="shared" si="3"/>
        <v>0.65999999999999992</v>
      </c>
      <c r="J18" s="140">
        <f t="shared" si="4"/>
        <v>1.970149253731343</v>
      </c>
      <c r="K18" s="140">
        <f t="shared" si="5"/>
        <v>3.940298507462686</v>
      </c>
      <c r="L18" s="143">
        <f t="shared" si="6"/>
        <v>1479156.105281966</v>
      </c>
      <c r="M18" s="71">
        <f t="shared" si="9"/>
        <v>5.0503619821193483E-3</v>
      </c>
      <c r="O18" s="61">
        <f>'6 - IP_MCO and FFS %'!G10</f>
        <v>0.50339483062244417</v>
      </c>
      <c r="P18" s="62">
        <f t="shared" si="10"/>
        <v>0.49660516937755583</v>
      </c>
      <c r="R18" s="59">
        <f t="shared" si="7"/>
        <v>744599.53708256944</v>
      </c>
      <c r="S18" s="59">
        <f t="shared" si="8"/>
        <v>734556.5681993966</v>
      </c>
      <c r="U18" s="50"/>
    </row>
    <row r="19" spans="1:21" ht="34.9" customHeight="1">
      <c r="A19" s="95" t="s">
        <v>102</v>
      </c>
      <c r="B19" s="95" t="s">
        <v>123</v>
      </c>
      <c r="C19" s="93" t="s">
        <v>31</v>
      </c>
      <c r="D19" s="69">
        <f t="shared" si="0"/>
        <v>99770.412663461539</v>
      </c>
      <c r="E19" s="121">
        <f xml:space="preserve"> '6 - IP_MCO and FFS %'!F11</f>
        <v>7005676.25</v>
      </c>
      <c r="F19" s="70">
        <f t="shared" si="1"/>
        <v>0.13735042501830036</v>
      </c>
      <c r="G19" s="140">
        <f t="shared" si="2"/>
        <v>0.13735042501830036</v>
      </c>
      <c r="H19" s="171">
        <v>0.74</v>
      </c>
      <c r="I19" s="142">
        <f t="shared" si="3"/>
        <v>0.26</v>
      </c>
      <c r="J19" s="140">
        <f t="shared" si="4"/>
        <v>0.77611940298507465</v>
      </c>
      <c r="K19" s="140">
        <f t="shared" si="5"/>
        <v>0.10660032986494954</v>
      </c>
      <c r="L19" s="143">
        <f t="shared" si="6"/>
        <v>137088.13607087193</v>
      </c>
      <c r="M19" s="71">
        <f t="shared" si="9"/>
        <v>1.9568151764202912E-2</v>
      </c>
      <c r="O19" s="61">
        <f>'6 - IP_MCO and FFS %'!G11</f>
        <v>0.29600222962058803</v>
      </c>
      <c r="P19" s="62">
        <f t="shared" si="10"/>
        <v>0.70399777037941202</v>
      </c>
      <c r="R19" s="59">
        <f t="shared" si="7"/>
        <v>40578.393931508646</v>
      </c>
      <c r="S19" s="59">
        <f t="shared" si="8"/>
        <v>96509.742139363283</v>
      </c>
      <c r="U19" s="50"/>
    </row>
    <row r="20" spans="1:21" ht="34.9" customHeight="1">
      <c r="A20" s="95" t="s">
        <v>103</v>
      </c>
      <c r="B20" s="95" t="s">
        <v>124</v>
      </c>
      <c r="C20" s="93" t="s">
        <v>29</v>
      </c>
      <c r="D20" s="69">
        <f t="shared" si="0"/>
        <v>99770.412663461539</v>
      </c>
      <c r="E20" s="121">
        <f xml:space="preserve"> '6 - IP_MCO and FFS %'!F12</f>
        <v>40928401.879999995</v>
      </c>
      <c r="F20" s="70">
        <f t="shared" si="1"/>
        <v>0.80242551795592931</v>
      </c>
      <c r="G20" s="140">
        <f t="shared" si="2"/>
        <v>0.80242551795592931</v>
      </c>
      <c r="H20" s="171">
        <v>0.85</v>
      </c>
      <c r="I20" s="142">
        <f t="shared" si="3"/>
        <v>0.15000000000000002</v>
      </c>
      <c r="J20" s="140">
        <f t="shared" si="4"/>
        <v>0.44776119402985076</v>
      </c>
      <c r="K20" s="140">
        <f t="shared" si="5"/>
        <v>0.35929500803996839</v>
      </c>
      <c r="L20" s="143">
        <f t="shared" si="6"/>
        <v>225549.30798850721</v>
      </c>
      <c r="M20" s="71">
        <f t="shared" si="9"/>
        <v>5.5108261654048052E-3</v>
      </c>
      <c r="O20" s="61">
        <f>'6 - IP_MCO and FFS %'!G12</f>
        <v>0.32746318410612718</v>
      </c>
      <c r="P20" s="62">
        <f t="shared" si="10"/>
        <v>0.67253681589387282</v>
      </c>
      <c r="R20" s="59">
        <f t="shared" si="7"/>
        <v>73859.094566850123</v>
      </c>
      <c r="S20" s="59">
        <f t="shared" si="8"/>
        <v>151690.2134216571</v>
      </c>
      <c r="U20" s="50"/>
    </row>
    <row r="21" spans="1:21" ht="34.9" customHeight="1">
      <c r="A21" s="95" t="s">
        <v>104</v>
      </c>
      <c r="B21" s="95" t="s">
        <v>125</v>
      </c>
      <c r="C21" s="93" t="s">
        <v>145</v>
      </c>
      <c r="D21" s="69">
        <f t="shared" si="0"/>
        <v>99770.412663461539</v>
      </c>
      <c r="E21" s="121">
        <f xml:space="preserve"> '6 - IP_MCO and FFS %'!F13</f>
        <v>174757427.13</v>
      </c>
      <c r="F21" s="70">
        <f t="shared" si="1"/>
        <v>3.4262226849849298</v>
      </c>
      <c r="G21" s="140">
        <f t="shared" si="2"/>
        <v>2</v>
      </c>
      <c r="H21" s="171">
        <v>0.61</v>
      </c>
      <c r="I21" s="142">
        <f t="shared" si="3"/>
        <v>0.39</v>
      </c>
      <c r="J21" s="140">
        <f t="shared" si="4"/>
        <v>1.164179104477612</v>
      </c>
      <c r="K21" s="140">
        <f t="shared" si="5"/>
        <v>2.3283582089552239</v>
      </c>
      <c r="L21" s="143">
        <f t="shared" si="6"/>
        <v>914861.95830166887</v>
      </c>
      <c r="M21" s="71">
        <f t="shared" si="9"/>
        <v>5.2350390671585811E-3</v>
      </c>
      <c r="O21" s="61">
        <f>'6 - IP_MCO and FFS %'!G13</f>
        <v>0.39179278234090126</v>
      </c>
      <c r="P21" s="62">
        <f t="shared" si="10"/>
        <v>0.60820721765909869</v>
      </c>
      <c r="R21" s="59">
        <f t="shared" si="7"/>
        <v>358436.31210085645</v>
      </c>
      <c r="S21" s="59">
        <f t="shared" si="8"/>
        <v>556425.64620081242</v>
      </c>
      <c r="U21" s="50"/>
    </row>
    <row r="22" spans="1:21" ht="34.9" customHeight="1">
      <c r="A22" s="95" t="s">
        <v>105</v>
      </c>
      <c r="B22" s="95" t="s">
        <v>126</v>
      </c>
      <c r="C22" s="93" t="s">
        <v>33</v>
      </c>
      <c r="D22" s="69">
        <f t="shared" si="0"/>
        <v>99770.412663461539</v>
      </c>
      <c r="E22" s="121">
        <f xml:space="preserve"> '6 - IP_MCO and FFS %'!F15</f>
        <v>2976736.11</v>
      </c>
      <c r="F22" s="70">
        <f t="shared" si="1"/>
        <v>5.8360671444933253E-2</v>
      </c>
      <c r="G22" s="140">
        <f t="shared" si="2"/>
        <v>5.8360671444933253E-2</v>
      </c>
      <c r="H22" s="171">
        <v>0.82</v>
      </c>
      <c r="I22" s="142">
        <f t="shared" si="3"/>
        <v>0.18000000000000005</v>
      </c>
      <c r="J22" s="140">
        <f t="shared" si="4"/>
        <v>0.537313432835821</v>
      </c>
      <c r="K22" s="140">
        <f t="shared" si="5"/>
        <v>3.135797271668056E-2</v>
      </c>
      <c r="L22" s="143">
        <f t="shared" si="6"/>
        <v>110747.94110020022</v>
      </c>
      <c r="M22" s="71">
        <f t="shared" si="9"/>
        <v>3.7204487400866793E-2</v>
      </c>
      <c r="O22" s="61">
        <f>'6 - IP_MCO and FFS %'!G15</f>
        <v>0.26412219321651592</v>
      </c>
      <c r="P22" s="62">
        <f t="shared" si="10"/>
        <v>0.73587780678348413</v>
      </c>
      <c r="R22" s="59">
        <f t="shared" si="7"/>
        <v>29250.989097598405</v>
      </c>
      <c r="S22" s="59">
        <f t="shared" si="8"/>
        <v>81496.952002601814</v>
      </c>
      <c r="U22" s="50"/>
    </row>
    <row r="23" spans="1:21" ht="34.9" customHeight="1">
      <c r="A23" s="95" t="s">
        <v>106</v>
      </c>
      <c r="B23" s="95" t="s">
        <v>127</v>
      </c>
      <c r="C23" s="93" t="s">
        <v>42</v>
      </c>
      <c r="D23" s="69">
        <f t="shared" si="0"/>
        <v>99770.412663461539</v>
      </c>
      <c r="E23" s="121">
        <f xml:space="preserve"> '6 - IP_MCO and FFS %'!F16</f>
        <v>10924029.98</v>
      </c>
      <c r="F23" s="70">
        <f t="shared" si="1"/>
        <v>0.21417206663891372</v>
      </c>
      <c r="G23" s="140">
        <f t="shared" si="2"/>
        <v>0.21417206663891372</v>
      </c>
      <c r="H23" s="171">
        <v>0.31</v>
      </c>
      <c r="I23" s="142">
        <f t="shared" si="3"/>
        <v>0.69</v>
      </c>
      <c r="J23" s="140">
        <f t="shared" si="4"/>
        <v>2.0597014925373132</v>
      </c>
      <c r="K23" s="140">
        <f t="shared" si="5"/>
        <v>0.44113052531597147</v>
      </c>
      <c r="L23" s="143">
        <f t="shared" si="6"/>
        <v>254197.57955086732</v>
      </c>
      <c r="M23" s="71">
        <f t="shared" si="9"/>
        <v>2.3269579085397868E-2</v>
      </c>
      <c r="O23" s="61">
        <f>'6 - IP_MCO and FFS %'!G16</f>
        <v>0.40224247810055896</v>
      </c>
      <c r="P23" s="62">
        <f t="shared" si="10"/>
        <v>0.59775752189944109</v>
      </c>
      <c r="R23" s="59">
        <f t="shared" si="7"/>
        <v>102249.06432570484</v>
      </c>
      <c r="S23" s="59">
        <f t="shared" si="8"/>
        <v>151948.5152251625</v>
      </c>
      <c r="U23" s="50"/>
    </row>
    <row r="24" spans="1:21" ht="34.9" customHeight="1">
      <c r="A24" s="95" t="s">
        <v>107</v>
      </c>
      <c r="B24" s="95" t="s">
        <v>128</v>
      </c>
      <c r="C24" s="93" t="s">
        <v>35</v>
      </c>
      <c r="D24" s="69">
        <f t="shared" si="0"/>
        <v>99770.412663461539</v>
      </c>
      <c r="E24" s="121">
        <f xml:space="preserve"> '6 - IP_MCO and FFS %'!F17</f>
        <v>16361092.76</v>
      </c>
      <c r="F24" s="70">
        <f t="shared" si="1"/>
        <v>0.3207688971282161</v>
      </c>
      <c r="G24" s="140">
        <f t="shared" si="2"/>
        <v>0.3207688971282161</v>
      </c>
      <c r="H24" s="171">
        <v>0.76</v>
      </c>
      <c r="I24" s="142">
        <f t="shared" si="3"/>
        <v>0.24</v>
      </c>
      <c r="J24" s="140">
        <f t="shared" si="4"/>
        <v>0.71641791044776115</v>
      </c>
      <c r="K24" s="140">
        <f t="shared" si="5"/>
        <v>0.22980458301722942</v>
      </c>
      <c r="L24" s="143">
        <f t="shared" si="6"/>
        <v>180218.41763358482</v>
      </c>
      <c r="M24" s="71">
        <f t="shared" si="9"/>
        <v>1.1015059952119287E-2</v>
      </c>
      <c r="O24" s="61">
        <f>'6 - IP_MCO and FFS %'!G17</f>
        <v>0.46092031813650081</v>
      </c>
      <c r="P24" s="62">
        <f t="shared" si="10"/>
        <v>0.53907968186349919</v>
      </c>
      <c r="R24" s="59">
        <f t="shared" si="7"/>
        <v>83066.330389728682</v>
      </c>
      <c r="S24" s="59">
        <f t="shared" si="8"/>
        <v>97152.087243856135</v>
      </c>
      <c r="U24" s="50"/>
    </row>
    <row r="25" spans="1:21" ht="34.9" customHeight="1">
      <c r="A25" s="95" t="s">
        <v>108</v>
      </c>
      <c r="B25" s="95" t="s">
        <v>129</v>
      </c>
      <c r="C25" s="93" t="s">
        <v>43</v>
      </c>
      <c r="D25" s="69">
        <f t="shared" si="0"/>
        <v>99770.412663461539</v>
      </c>
      <c r="E25" s="121">
        <f xml:space="preserve"> '6 - IP_MCO and FFS %'!F18</f>
        <v>7147508.8499999996</v>
      </c>
      <c r="F25" s="70">
        <f t="shared" si="1"/>
        <v>0.14013113700045204</v>
      </c>
      <c r="G25" s="140">
        <f t="shared" si="2"/>
        <v>0.14013113700045204</v>
      </c>
      <c r="H25" s="171">
        <v>0.23</v>
      </c>
      <c r="I25" s="142">
        <f t="shared" si="3"/>
        <v>0.77</v>
      </c>
      <c r="J25" s="140">
        <f t="shared" si="4"/>
        <v>2.2985074626865671</v>
      </c>
      <c r="K25" s="140">
        <f t="shared" si="5"/>
        <v>0.32209246415029275</v>
      </c>
      <c r="L25" s="143">
        <f t="shared" si="6"/>
        <v>212525.76252025401</v>
      </c>
      <c r="M25" s="71">
        <f t="shared" si="9"/>
        <v>2.9734242654383566E-2</v>
      </c>
      <c r="O25" s="61">
        <f>'6 - IP_MCO and FFS %'!G18</f>
        <v>0.31039955690296211</v>
      </c>
      <c r="P25" s="62">
        <f t="shared" si="10"/>
        <v>0.68960044309703794</v>
      </c>
      <c r="R25" s="59">
        <f t="shared" si="7"/>
        <v>65967.902516750997</v>
      </c>
      <c r="S25" s="59">
        <f t="shared" si="8"/>
        <v>146557.86000350301</v>
      </c>
      <c r="U25" s="50"/>
    </row>
    <row r="26" spans="1:21" ht="34.9" customHeight="1">
      <c r="A26" s="95" t="s">
        <v>109</v>
      </c>
      <c r="B26" s="95" t="s">
        <v>130</v>
      </c>
      <c r="C26" s="93" t="s">
        <v>36</v>
      </c>
      <c r="D26" s="69">
        <f t="shared" si="0"/>
        <v>99770.412663461539</v>
      </c>
      <c r="E26" s="121">
        <f xml:space="preserve"> '6 - IP_MCO and FFS %'!F19</f>
        <v>26612695.199999999</v>
      </c>
      <c r="F26" s="70">
        <f t="shared" si="1"/>
        <v>0.52175762426967442</v>
      </c>
      <c r="G26" s="140">
        <f t="shared" si="2"/>
        <v>0.52175762426967442</v>
      </c>
      <c r="H26" s="171">
        <v>0.75</v>
      </c>
      <c r="I26" s="142">
        <f t="shared" si="3"/>
        <v>0.25</v>
      </c>
      <c r="J26" s="140">
        <f t="shared" si="4"/>
        <v>0.74626865671641784</v>
      </c>
      <c r="K26" s="140">
        <f t="shared" si="5"/>
        <v>0.38937136139527939</v>
      </c>
      <c r="L26" s="143">
        <f t="shared" si="6"/>
        <v>236078.17818092561</v>
      </c>
      <c r="M26" s="71">
        <f t="shared" si="9"/>
        <v>8.8708857335474088E-3</v>
      </c>
      <c r="O26" s="61">
        <f>'6 - IP_MCO and FFS %'!G19</f>
        <v>0.22316890849897833</v>
      </c>
      <c r="P26" s="62">
        <f t="shared" si="10"/>
        <v>0.7768310915010217</v>
      </c>
      <c r="R26" s="59">
        <f t="shared" si="7"/>
        <v>52685.309345064488</v>
      </c>
      <c r="S26" s="59">
        <f t="shared" si="8"/>
        <v>183392.86883586113</v>
      </c>
      <c r="U26" s="50"/>
    </row>
    <row r="27" spans="1:21" ht="34.9" customHeight="1">
      <c r="A27" s="95" t="s">
        <v>110</v>
      </c>
      <c r="B27" s="95" t="s">
        <v>131</v>
      </c>
      <c r="C27" s="93" t="s">
        <v>28</v>
      </c>
      <c r="D27" s="69">
        <f t="shared" si="0"/>
        <v>99770.412663461539</v>
      </c>
      <c r="E27" s="121">
        <f xml:space="preserve"> '6 - IP_MCO and FFS %'!F20</f>
        <v>129012670.71000001</v>
      </c>
      <c r="F27" s="70">
        <f t="shared" si="1"/>
        <v>2.5293696885813888</v>
      </c>
      <c r="G27" s="140">
        <f t="shared" si="2"/>
        <v>2</v>
      </c>
      <c r="H27" s="171">
        <v>0.85</v>
      </c>
      <c r="I27" s="142">
        <f t="shared" si="3"/>
        <v>0.15000000000000002</v>
      </c>
      <c r="J27" s="140">
        <f t="shared" si="4"/>
        <v>0.44776119402985076</v>
      </c>
      <c r="K27" s="140">
        <f t="shared" si="5"/>
        <v>0.89552238805970152</v>
      </c>
      <c r="L27" s="143">
        <f t="shared" si="6"/>
        <v>413267.16098584892</v>
      </c>
      <c r="M27" s="71">
        <f t="shared" si="9"/>
        <v>3.2033067660060138E-3</v>
      </c>
      <c r="O27" s="61">
        <f>'6 - IP_MCO and FFS %'!G20</f>
        <v>0.31750932582488511</v>
      </c>
      <c r="P27" s="62">
        <f t="shared" si="10"/>
        <v>0.68249067417511489</v>
      </c>
      <c r="R27" s="59">
        <f t="shared" si="7"/>
        <v>131216.17767018115</v>
      </c>
      <c r="S27" s="59">
        <f t="shared" si="8"/>
        <v>282050.98331566778</v>
      </c>
      <c r="U27" s="50"/>
    </row>
    <row r="28" spans="1:21" ht="34.9" customHeight="1">
      <c r="A28" s="95" t="s">
        <v>111</v>
      </c>
      <c r="B28" s="95" t="s">
        <v>132</v>
      </c>
      <c r="C28" s="93" t="s">
        <v>34</v>
      </c>
      <c r="D28" s="69">
        <f t="shared" si="0"/>
        <v>99770.412663461539</v>
      </c>
      <c r="E28" s="121">
        <f xml:space="preserve"> '6 - IP_MCO and FFS %'!F21</f>
        <v>43274583.57</v>
      </c>
      <c r="F28" s="70">
        <f t="shared" si="1"/>
        <v>0.84842379717867455</v>
      </c>
      <c r="G28" s="140">
        <f t="shared" si="2"/>
        <v>0.84842379717867455</v>
      </c>
      <c r="H28" s="171">
        <v>0.79</v>
      </c>
      <c r="I28" s="142">
        <f t="shared" si="3"/>
        <v>0.20999999999999996</v>
      </c>
      <c r="J28" s="140">
        <f t="shared" si="4"/>
        <v>0.62686567164179086</v>
      </c>
      <c r="K28" s="140">
        <f t="shared" si="5"/>
        <v>0.53184775345528834</v>
      </c>
      <c r="L28" s="143">
        <f t="shared" si="6"/>
        <v>285955.08379385452</v>
      </c>
      <c r="M28" s="71">
        <f t="shared" si="9"/>
        <v>6.6079222537473977E-3</v>
      </c>
      <c r="O28" s="61">
        <f>'6 - IP_MCO and FFS %'!G21</f>
        <v>0.40359386455443136</v>
      </c>
      <c r="P28" s="62">
        <f t="shared" si="10"/>
        <v>0.59640613544556864</v>
      </c>
      <c r="R28" s="59">
        <f t="shared" si="7"/>
        <v>115409.717357348</v>
      </c>
      <c r="S28" s="59">
        <f t="shared" si="8"/>
        <v>170545.36643650653</v>
      </c>
      <c r="U28" s="50"/>
    </row>
    <row r="29" spans="1:21" ht="34.9" customHeight="1">
      <c r="A29" s="95" t="s">
        <v>112</v>
      </c>
      <c r="B29" s="95" t="s">
        <v>133</v>
      </c>
      <c r="C29" s="93" t="s">
        <v>37</v>
      </c>
      <c r="D29" s="69">
        <f t="shared" si="0"/>
        <v>99770.412663461539</v>
      </c>
      <c r="E29" s="121">
        <f xml:space="preserve"> '6 - IP_MCO and FFS %'!F22</f>
        <v>25389677.629999999</v>
      </c>
      <c r="F29" s="70">
        <f t="shared" si="1"/>
        <v>0.49777964169528</v>
      </c>
      <c r="G29" s="140">
        <f t="shared" si="2"/>
        <v>0.49777964169528</v>
      </c>
      <c r="H29" s="171">
        <v>0.67</v>
      </c>
      <c r="I29" s="142">
        <f t="shared" si="3"/>
        <v>0.32999999999999996</v>
      </c>
      <c r="J29" s="140">
        <f t="shared" si="4"/>
        <v>0.98507462686567149</v>
      </c>
      <c r="K29" s="140">
        <f t="shared" si="5"/>
        <v>0.49035009480430558</v>
      </c>
      <c r="L29" s="143">
        <f t="shared" si="6"/>
        <v>271427.94162127021</v>
      </c>
      <c r="M29" s="71">
        <f t="shared" si="9"/>
        <v>1.0690483966624125E-2</v>
      </c>
      <c r="O29" s="61">
        <f>'6 - IP_MCO and FFS %'!G22</f>
        <v>0.38165363937312818</v>
      </c>
      <c r="P29" s="62">
        <f t="shared" si="10"/>
        <v>0.61834636062687176</v>
      </c>
      <c r="R29" s="59">
        <f t="shared" si="7"/>
        <v>103591.46174731475</v>
      </c>
      <c r="S29" s="59">
        <f t="shared" si="8"/>
        <v>167836.47987395545</v>
      </c>
      <c r="U29" s="50"/>
    </row>
    <row r="30" spans="1:21" ht="34.9" customHeight="1">
      <c r="A30" s="95" t="s">
        <v>113</v>
      </c>
      <c r="B30" s="95" t="s">
        <v>134</v>
      </c>
      <c r="C30" s="93" t="s">
        <v>49</v>
      </c>
      <c r="D30" s="69">
        <f t="shared" si="0"/>
        <v>99770.412663461539</v>
      </c>
      <c r="E30" s="121">
        <f xml:space="preserve"> '6 - IP_MCO and FFS %'!F23</f>
        <v>23109551.420000002</v>
      </c>
      <c r="F30" s="70">
        <f t="shared" si="1"/>
        <v>0.45307641921352942</v>
      </c>
      <c r="G30" s="140">
        <f t="shared" si="2"/>
        <v>0.45307641921352942</v>
      </c>
      <c r="H30" s="171">
        <v>0.75</v>
      </c>
      <c r="I30" s="142">
        <f t="shared" si="3"/>
        <v>0.25</v>
      </c>
      <c r="J30" s="140">
        <f t="shared" si="4"/>
        <v>0.74626865671641784</v>
      </c>
      <c r="K30" s="140">
        <f t="shared" si="5"/>
        <v>0.33811673075636522</v>
      </c>
      <c r="L30" s="143">
        <f t="shared" si="6"/>
        <v>218135.39946762181</v>
      </c>
      <c r="M30" s="71">
        <f t="shared" si="9"/>
        <v>9.4391879575316216E-3</v>
      </c>
      <c r="O30" s="61">
        <f>'6 - IP_MCO and FFS %'!G23</f>
        <v>0.2960754661848819</v>
      </c>
      <c r="P30" s="62">
        <f t="shared" si="10"/>
        <v>0.7039245338151181</v>
      </c>
      <c r="R30" s="59">
        <f t="shared" si="7"/>
        <v>64584.540088801565</v>
      </c>
      <c r="S30" s="59">
        <f t="shared" si="8"/>
        <v>153550.85937882026</v>
      </c>
      <c r="U30" s="50"/>
    </row>
    <row r="31" spans="1:21" ht="34.9" customHeight="1">
      <c r="A31" s="95" t="s">
        <v>114</v>
      </c>
      <c r="B31" s="95" t="s">
        <v>135</v>
      </c>
      <c r="C31" s="93" t="s">
        <v>27</v>
      </c>
      <c r="D31" s="69">
        <f t="shared" si="0"/>
        <v>99770.412663461539</v>
      </c>
      <c r="E31" s="121">
        <f xml:space="preserve"> '6 - IP_MCO and FFS %'!F26</f>
        <v>14220874.25</v>
      </c>
      <c r="F31" s="70">
        <f t="shared" si="1"/>
        <v>0.27880864782601156</v>
      </c>
      <c r="G31" s="140">
        <f t="shared" si="2"/>
        <v>0.27880864782601156</v>
      </c>
      <c r="H31" s="171">
        <v>0.87</v>
      </c>
      <c r="I31" s="142">
        <f t="shared" si="3"/>
        <v>0.13</v>
      </c>
      <c r="J31" s="140">
        <f t="shared" si="4"/>
        <v>0.38805970149253732</v>
      </c>
      <c r="K31" s="140">
        <f t="shared" si="5"/>
        <v>0.10819440064890001</v>
      </c>
      <c r="L31" s="143">
        <f t="shared" si="6"/>
        <v>137646.17461242859</v>
      </c>
      <c r="M31" s="71">
        <f t="shared" si="9"/>
        <v>9.679164036798131E-3</v>
      </c>
      <c r="O31" s="61">
        <f>'6 - IP_MCO and FFS %'!G26</f>
        <v>0.37648657430467053</v>
      </c>
      <c r="P31" s="62">
        <f t="shared" si="10"/>
        <v>0.62351342569532942</v>
      </c>
      <c r="R31" s="59">
        <f t="shared" si="7"/>
        <v>51821.936745975749</v>
      </c>
      <c r="S31" s="59">
        <f t="shared" si="8"/>
        <v>85824.237866452822</v>
      </c>
      <c r="U31" s="50"/>
    </row>
    <row r="32" spans="1:21" ht="34.9" customHeight="1">
      <c r="A32" s="95" t="s">
        <v>92</v>
      </c>
      <c r="B32" s="95" t="s">
        <v>91</v>
      </c>
      <c r="C32" s="93" t="s">
        <v>82</v>
      </c>
      <c r="D32" s="69">
        <f t="shared" si="0"/>
        <v>99770.412663461539</v>
      </c>
      <c r="E32" s="121">
        <f xml:space="preserve"> '6 - IP_MCO and FFS %'!F27</f>
        <v>21399833.699999999</v>
      </c>
      <c r="F32" s="70">
        <f t="shared" si="1"/>
        <v>0.41955639243476989</v>
      </c>
      <c r="G32" s="140">
        <f t="shared" si="2"/>
        <v>0.41955639243476989</v>
      </c>
      <c r="H32" s="171">
        <v>0.78</v>
      </c>
      <c r="I32" s="142">
        <f t="shared" si="3"/>
        <v>0.21999999999999997</v>
      </c>
      <c r="J32" s="140">
        <f t="shared" si="4"/>
        <v>0.65671641791044766</v>
      </c>
      <c r="K32" s="140">
        <f t="shared" si="5"/>
        <v>0.27552957115119214</v>
      </c>
      <c r="L32" s="143">
        <f t="shared" si="6"/>
        <v>196225.42682532087</v>
      </c>
      <c r="M32" s="71">
        <f t="shared" si="9"/>
        <v>9.1694837247880516E-3</v>
      </c>
      <c r="O32" s="61">
        <f>'6 - IP_MCO and FFS %'!G27</f>
        <v>0.30727254670208026</v>
      </c>
      <c r="P32" s="62">
        <f t="shared" si="10"/>
        <v>0.69272745329791974</v>
      </c>
      <c r="R32" s="59">
        <f t="shared" si="7"/>
        <v>60294.686628319039</v>
      </c>
      <c r="S32" s="59">
        <f t="shared" si="8"/>
        <v>135930.74019700184</v>
      </c>
      <c r="U32" s="50"/>
    </row>
    <row r="33" spans="1:21" ht="34.9" customHeight="1">
      <c r="A33" s="95" t="s">
        <v>115</v>
      </c>
      <c r="B33" s="95" t="s">
        <v>136</v>
      </c>
      <c r="C33" s="93" t="s">
        <v>30</v>
      </c>
      <c r="D33" s="69">
        <f t="shared" si="0"/>
        <v>99770.412663461539</v>
      </c>
      <c r="E33" s="121">
        <f xml:space="preserve"> '6 - IP_MCO and FFS %'!F28</f>
        <v>7841560.5599999996</v>
      </c>
      <c r="F33" s="70">
        <f t="shared" si="1"/>
        <v>0.15373843113614355</v>
      </c>
      <c r="G33" s="140">
        <f t="shared" si="2"/>
        <v>0.15373843113614355</v>
      </c>
      <c r="H33" s="58">
        <v>0.79</v>
      </c>
      <c r="I33" s="142">
        <f t="shared" si="3"/>
        <v>0.20999999999999996</v>
      </c>
      <c r="J33" s="140">
        <f t="shared" si="4"/>
        <v>0.62686567164179086</v>
      </c>
      <c r="K33" s="140">
        <f t="shared" si="5"/>
        <v>9.6373344891313842E-2</v>
      </c>
      <c r="L33" s="143">
        <f t="shared" si="6"/>
        <v>133507.96144081792</v>
      </c>
      <c r="M33" s="71">
        <f t="shared" si="9"/>
        <v>1.7025687733873463E-2</v>
      </c>
      <c r="O33" s="61">
        <f>'6 - IP_MCO and FFS %'!G28</f>
        <v>0.43344613154399969</v>
      </c>
      <c r="P33" s="62">
        <f t="shared" si="10"/>
        <v>0.56655386845600031</v>
      </c>
      <c r="R33" s="59">
        <f t="shared" si="7"/>
        <v>57868.509416847999</v>
      </c>
      <c r="S33" s="59">
        <f t="shared" si="8"/>
        <v>75639.45202396992</v>
      </c>
      <c r="U33" s="50"/>
    </row>
    <row r="34" spans="1:21" ht="34.9" customHeight="1">
      <c r="A34" s="95">
        <v>139135109</v>
      </c>
      <c r="B34" s="95">
        <v>1477643690</v>
      </c>
      <c r="C34" s="93" t="s">
        <v>149</v>
      </c>
      <c r="D34" s="69">
        <f t="shared" si="0"/>
        <v>99770.412663461539</v>
      </c>
      <c r="E34" s="121">
        <f xml:space="preserve"> '6 - IP_MCO and FFS %'!F29</f>
        <v>352917243.06999999</v>
      </c>
      <c r="F34" s="70">
        <f t="shared" si="1"/>
        <v>6.919151214267333</v>
      </c>
      <c r="G34" s="140">
        <f t="shared" si="2"/>
        <v>2</v>
      </c>
      <c r="H34" s="58">
        <v>0.84</v>
      </c>
      <c r="I34" s="142">
        <f t="shared" si="3"/>
        <v>0.16000000000000003</v>
      </c>
      <c r="J34" s="140">
        <f t="shared" si="4"/>
        <v>0.47761194029850751</v>
      </c>
      <c r="K34" s="140">
        <f t="shared" si="5"/>
        <v>0.95522388059701502</v>
      </c>
      <c r="L34" s="143">
        <f t="shared" si="6"/>
        <v>434166.94420734153</v>
      </c>
      <c r="M34" s="71">
        <f t="shared" si="9"/>
        <v>1.2302230982837693E-3</v>
      </c>
      <c r="O34" s="61">
        <f xml:space="preserve"> '6 - IP_MCO and FFS %'!G29</f>
        <v>0.41902548201836715</v>
      </c>
      <c r="P34" s="62">
        <f t="shared" ref="P34" si="11">100%-O34</f>
        <v>0.5809745179816328</v>
      </c>
      <c r="R34" s="59">
        <f t="shared" si="7"/>
        <v>181927.0130729228</v>
      </c>
      <c r="S34" s="59">
        <f t="shared" si="8"/>
        <v>252239.9311344187</v>
      </c>
      <c r="U34" s="50"/>
    </row>
    <row r="35" spans="1:21" ht="34.9" customHeight="1">
      <c r="A35" s="95" t="s">
        <v>116</v>
      </c>
      <c r="B35" s="95" t="s">
        <v>137</v>
      </c>
      <c r="C35" s="93" t="s">
        <v>45</v>
      </c>
      <c r="D35" s="69">
        <f t="shared" si="0"/>
        <v>99770.412663461539</v>
      </c>
      <c r="E35" s="121">
        <f xml:space="preserve"> '6 - IP_MCO and FFS %'!F31</f>
        <v>5180283.21</v>
      </c>
      <c r="F35" s="70">
        <f t="shared" si="1"/>
        <v>0.10156251519739658</v>
      </c>
      <c r="G35" s="140">
        <f t="shared" si="2"/>
        <v>0.10156251519739658</v>
      </c>
      <c r="H35" s="58">
        <v>0.14000000000000001</v>
      </c>
      <c r="I35" s="142">
        <f t="shared" si="3"/>
        <v>0.86</v>
      </c>
      <c r="J35" s="140">
        <f t="shared" si="4"/>
        <v>2.5671641791044775</v>
      </c>
      <c r="K35" s="140">
        <f t="shared" si="5"/>
        <v>0.26072765095451061</v>
      </c>
      <c r="L35" s="143">
        <f t="shared" si="6"/>
        <v>191043.69835883193</v>
      </c>
      <c r="M35" s="71">
        <f t="shared" ref="M35:M36" si="12" xml:space="preserve"> L35 / E35</f>
        <v>3.6879006535789752E-2</v>
      </c>
      <c r="O35" s="61">
        <f>'6 - IP_MCO and FFS %'!G31</f>
        <v>0.17519812589551451</v>
      </c>
      <c r="P35" s="62">
        <f t="shared" ref="P35" si="13">100%-O35</f>
        <v>0.82480187410448547</v>
      </c>
      <c r="R35" s="59">
        <f t="shared" si="7"/>
        <v>33470.497916615335</v>
      </c>
      <c r="S35" s="59">
        <f t="shared" si="8"/>
        <v>157573.20044221659</v>
      </c>
      <c r="U35" s="50"/>
    </row>
    <row r="36" spans="1:21" ht="34.9" customHeight="1" thickBot="1">
      <c r="A36" s="95" t="s">
        <v>89</v>
      </c>
      <c r="B36" s="95" t="s">
        <v>88</v>
      </c>
      <c r="C36" s="93" t="s">
        <v>90</v>
      </c>
      <c r="D36" s="69">
        <f t="shared" si="0"/>
        <v>99770.412663461539</v>
      </c>
      <c r="E36" s="121">
        <f xml:space="preserve"> '6 - IP_MCO and FFS %'!F32</f>
        <v>10402034.25</v>
      </c>
      <c r="F36" s="70">
        <f t="shared" si="1"/>
        <v>0.20393803171998096</v>
      </c>
      <c r="G36" s="140">
        <f t="shared" si="2"/>
        <v>0.20393803171998096</v>
      </c>
      <c r="H36" s="58">
        <v>0.69</v>
      </c>
      <c r="I36" s="142">
        <f t="shared" si="3"/>
        <v>0.31000000000000005</v>
      </c>
      <c r="J36" s="140">
        <f t="shared" si="4"/>
        <v>0.92537313432835833</v>
      </c>
      <c r="K36" s="140">
        <f t="shared" si="5"/>
        <v>0.18871877562147493</v>
      </c>
      <c r="L36" s="143">
        <f t="shared" si="6"/>
        <v>165835.45279372623</v>
      </c>
      <c r="M36" s="71">
        <f t="shared" si="12"/>
        <v>1.5942598227238699E-2</v>
      </c>
      <c r="O36" s="61">
        <f xml:space="preserve"> ('6 - IP_MCO and FFS %'!G32)</f>
        <v>0.27381031167052733</v>
      </c>
      <c r="P36" s="62">
        <f t="shared" ref="P36" si="14">100%-O36</f>
        <v>0.72618968832947273</v>
      </c>
      <c r="R36" s="59">
        <f t="shared" ref="R36" si="15">$L36*O36</f>
        <v>45407.457015473199</v>
      </c>
      <c r="S36" s="59">
        <f t="shared" ref="S36" si="16">$L36*P36</f>
        <v>120427.99577825304</v>
      </c>
      <c r="U36" s="50"/>
    </row>
    <row r="37" spans="1:21" s="136" customFormat="1" ht="34.9" customHeight="1" thickBot="1">
      <c r="C37" s="163" t="s">
        <v>60</v>
      </c>
      <c r="D37" s="164">
        <f xml:space="preserve"> SUM(D11:D36)</f>
        <v>2594030.7292500013</v>
      </c>
      <c r="E37" s="165">
        <f xml:space="preserve"> AVERAGE(E11:E36)</f>
        <v>51005857.820000008</v>
      </c>
      <c r="F37" s="166"/>
      <c r="G37" s="166"/>
      <c r="H37" s="157">
        <f xml:space="preserve"> AVERAGE(H11:H36)</f>
        <v>0.66500000000000015</v>
      </c>
      <c r="I37" s="157">
        <f xml:space="preserve"> AVERAGE(I11:I36)</f>
        <v>0.33500000000000002</v>
      </c>
      <c r="J37" s="167"/>
      <c r="K37" s="157">
        <f xml:space="preserve"> SUM(K11:K36)</f>
        <v>14.068271093922966</v>
      </c>
      <c r="L37" s="168">
        <f>SUM(L11:L36)</f>
        <v>7518929.6499999985</v>
      </c>
      <c r="M37" s="159">
        <f xml:space="preserve"> AVERAGE(M11:M36)</f>
        <v>1.7478563994392314E-2</v>
      </c>
      <c r="O37" s="169"/>
      <c r="R37" s="60">
        <f>SUM(R11:R36)</f>
        <v>2768464.5021580756</v>
      </c>
      <c r="S37" s="60">
        <f>SUM(S11:S36)</f>
        <v>4750465.1478419248</v>
      </c>
      <c r="T37" s="56"/>
      <c r="U37" s="170">
        <f>SUM(R37:T37)</f>
        <v>7518929.6500000004</v>
      </c>
    </row>
    <row r="38" spans="1:21" ht="34.9" customHeight="1">
      <c r="A38" s="17"/>
      <c r="B38" s="17"/>
      <c r="C38" s="18"/>
      <c r="D38" s="18"/>
      <c r="E38" s="17"/>
      <c r="F38" s="17"/>
      <c r="G38" s="17"/>
      <c r="H38" s="17"/>
      <c r="I38" s="17"/>
      <c r="J38" s="17"/>
      <c r="K38" s="17"/>
      <c r="L38" s="17"/>
      <c r="M38" s="17"/>
      <c r="O38" s="51"/>
      <c r="U38" s="50"/>
    </row>
    <row r="39" spans="1:21" ht="34.9" customHeight="1" thickBot="1">
      <c r="C39" s="40" t="s">
        <v>20</v>
      </c>
      <c r="D39" s="41" t="s">
        <v>167</v>
      </c>
      <c r="F39" s="4"/>
      <c r="G39" s="4"/>
      <c r="O39" s="52"/>
      <c r="P39" s="53"/>
      <c r="Q39" s="54"/>
      <c r="R39" s="54"/>
      <c r="S39" s="54"/>
      <c r="T39" s="54"/>
      <c r="U39" s="55"/>
    </row>
    <row r="40" spans="1:21" ht="34.9" customHeight="1">
      <c r="C40" s="40" t="s">
        <v>19</v>
      </c>
      <c r="D40" s="41" t="s">
        <v>154</v>
      </c>
      <c r="F40" s="4"/>
      <c r="G40" s="4"/>
    </row>
    <row r="42" spans="1:21" ht="21.75">
      <c r="E42" s="125"/>
    </row>
    <row r="44" spans="1:21">
      <c r="E44" s="20"/>
    </row>
  </sheetData>
  <autoFilter ref="C9:M9">
    <sortState ref="C10:M32">
      <sortCondition descending="1" ref="H6"/>
    </sortState>
  </autoFilter>
  <sortState ref="C4:R24">
    <sortCondition descending="1" ref="M4:M24"/>
  </sortState>
  <mergeCells count="8">
    <mergeCell ref="A1:U1"/>
    <mergeCell ref="H4:M4"/>
    <mergeCell ref="E4:E5"/>
    <mergeCell ref="B9:B10"/>
    <mergeCell ref="A9:A10"/>
    <mergeCell ref="E7:G7"/>
    <mergeCell ref="H7:J7"/>
    <mergeCell ref="K7:M7"/>
  </mergeCells>
  <pageMargins left="0.4" right="0.4" top="0.4" bottom="0.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35"/>
  <sheetViews>
    <sheetView zoomScale="60" zoomScaleNormal="60" workbookViewId="0">
      <selection activeCell="C14" sqref="C14"/>
    </sheetView>
  </sheetViews>
  <sheetFormatPr defaultColWidth="9.140625" defaultRowHeight="17.25"/>
  <cols>
    <col min="1" max="1" width="15.42578125" style="16" bestFit="1" customWidth="1"/>
    <col min="2" max="2" width="17" style="16" bestFit="1" customWidth="1"/>
    <col min="3" max="3" width="110" style="16" bestFit="1" customWidth="1"/>
    <col min="4" max="4" width="20.85546875" style="16" customWidth="1"/>
    <col min="5" max="5" width="27.5703125" style="16" customWidth="1"/>
    <col min="6" max="6" width="21.28515625" style="16" customWidth="1"/>
    <col min="7" max="7" width="20.42578125" style="16" customWidth="1"/>
    <col min="8" max="8" width="10.7109375" style="16" customWidth="1"/>
    <col min="9" max="9" width="19.42578125" style="16" customWidth="1"/>
    <col min="10" max="10" width="30.28515625" style="16" customWidth="1"/>
    <col min="11" max="11" width="17.5703125" style="16" bestFit="1" customWidth="1"/>
    <col min="12" max="12" width="19.5703125" style="16" customWidth="1"/>
    <col min="13" max="13" width="39.7109375" style="16" customWidth="1"/>
    <col min="14" max="14" width="7.85546875" style="16" customWidth="1"/>
    <col min="15" max="15" width="11.85546875" style="16" customWidth="1"/>
    <col min="16" max="16" width="13.140625" style="16" customWidth="1"/>
    <col min="17" max="17" width="4.7109375" style="16" customWidth="1"/>
    <col min="18" max="18" width="22.42578125" style="16" customWidth="1"/>
    <col min="19" max="19" width="17.7109375" style="16" bestFit="1" customWidth="1"/>
    <col min="20" max="20" width="4.5703125" style="16" customWidth="1"/>
    <col min="21" max="21" width="21.42578125" style="16" customWidth="1"/>
    <col min="22" max="16384" width="9.140625" style="16"/>
  </cols>
  <sheetData>
    <row r="1" spans="1:21" ht="53.25">
      <c r="A1" s="243" t="s">
        <v>178</v>
      </c>
      <c r="B1" s="243"/>
      <c r="C1" s="243"/>
      <c r="D1" s="243"/>
      <c r="E1" s="243"/>
      <c r="F1" s="243"/>
      <c r="G1" s="243"/>
      <c r="H1" s="243"/>
      <c r="I1" s="243"/>
      <c r="J1" s="243"/>
      <c r="K1" s="243"/>
      <c r="L1" s="243"/>
      <c r="M1" s="243"/>
      <c r="N1" s="243"/>
      <c r="O1" s="243"/>
      <c r="P1" s="243"/>
      <c r="Q1" s="243"/>
      <c r="R1" s="243"/>
      <c r="S1" s="243"/>
      <c r="T1" s="243"/>
      <c r="U1" s="243"/>
    </row>
    <row r="2" spans="1:21" ht="41.25">
      <c r="A2" s="44"/>
      <c r="B2" s="44"/>
      <c r="C2" s="44"/>
      <c r="D2" s="44"/>
      <c r="E2" s="44"/>
      <c r="F2" s="44"/>
      <c r="G2" s="44"/>
      <c r="H2" s="44"/>
      <c r="I2" s="44"/>
      <c r="J2" s="44"/>
      <c r="K2" s="44"/>
      <c r="L2" s="44"/>
      <c r="M2" s="44"/>
      <c r="N2" s="44"/>
      <c r="O2" s="44"/>
      <c r="P2" s="44"/>
      <c r="Q2" s="44"/>
    </row>
    <row r="3" spans="1:21" s="42" customFormat="1" ht="21">
      <c r="A3" s="173"/>
      <c r="B3" s="173"/>
      <c r="C3" s="2"/>
      <c r="D3" s="174"/>
      <c r="E3" s="72">
        <v>0.5</v>
      </c>
      <c r="F3" s="73" t="s">
        <v>159</v>
      </c>
      <c r="G3" s="172" t="s">
        <v>22</v>
      </c>
      <c r="H3" s="2"/>
      <c r="I3" s="2"/>
      <c r="J3" s="2"/>
      <c r="K3" s="2"/>
      <c r="L3" s="2"/>
      <c r="M3" s="2"/>
    </row>
    <row r="4" spans="1:21" s="42" customFormat="1" ht="21">
      <c r="A4" s="173"/>
      <c r="B4" s="173"/>
      <c r="C4" s="2"/>
      <c r="D4" s="2"/>
      <c r="E4" s="256" t="s">
        <v>183</v>
      </c>
      <c r="F4" s="74">
        <f>'2 - NOTES '!C19*E3</f>
        <v>7518929.6500000004</v>
      </c>
      <c r="G4" s="74">
        <f>F4-D30</f>
        <v>5624159.3782000002</v>
      </c>
      <c r="H4" s="255" t="s">
        <v>184</v>
      </c>
      <c r="I4" s="255"/>
      <c r="J4" s="255"/>
      <c r="K4" s="255"/>
      <c r="L4" s="255"/>
      <c r="M4" s="255"/>
    </row>
    <row r="5" spans="1:21" s="42" customFormat="1" ht="21">
      <c r="A5" s="38"/>
      <c r="B5" s="38"/>
      <c r="C5" s="2"/>
      <c r="D5" s="2"/>
      <c r="E5" s="256"/>
      <c r="F5" s="173"/>
      <c r="G5" s="173"/>
      <c r="H5" s="173"/>
      <c r="I5" s="173"/>
      <c r="J5" s="173"/>
      <c r="K5" s="173"/>
      <c r="L5" s="173"/>
      <c r="M5" s="173"/>
    </row>
    <row r="6" spans="1:21" s="42" customFormat="1" ht="21">
      <c r="A6" s="38"/>
      <c r="B6" s="38"/>
      <c r="C6" s="2"/>
      <c r="D6" s="38"/>
      <c r="E6" s="175"/>
      <c r="F6" s="38"/>
      <c r="G6" s="38"/>
      <c r="H6" s="38"/>
      <c r="I6" s="36"/>
      <c r="J6" s="176"/>
      <c r="K6" s="176"/>
      <c r="L6" s="43"/>
      <c r="M6" s="43"/>
      <c r="N6" s="43"/>
      <c r="O6" s="43"/>
    </row>
    <row r="7" spans="1:21" s="42" customFormat="1" ht="21">
      <c r="A7" s="38"/>
      <c r="B7" s="38"/>
      <c r="C7" s="2"/>
      <c r="D7" s="76" t="s">
        <v>10</v>
      </c>
      <c r="E7" s="257" t="s">
        <v>74</v>
      </c>
      <c r="F7" s="258"/>
      <c r="G7" s="258"/>
      <c r="H7" s="258" t="s">
        <v>76</v>
      </c>
      <c r="I7" s="258"/>
      <c r="J7" s="258"/>
      <c r="K7" s="258" t="s">
        <v>77</v>
      </c>
      <c r="L7" s="258"/>
      <c r="M7" s="258"/>
      <c r="N7" s="43"/>
      <c r="O7" s="43"/>
    </row>
    <row r="8" spans="1:21" s="42" customFormat="1" ht="21">
      <c r="A8" s="173"/>
      <c r="B8" s="173"/>
      <c r="C8" s="173"/>
      <c r="D8" s="63">
        <v>0.252</v>
      </c>
      <c r="E8" s="75" t="s">
        <v>11</v>
      </c>
      <c r="F8" s="75" t="s">
        <v>13</v>
      </c>
      <c r="G8" s="75" t="s">
        <v>12</v>
      </c>
      <c r="H8" s="77" t="s">
        <v>18</v>
      </c>
      <c r="I8" s="77" t="s">
        <v>14</v>
      </c>
      <c r="J8" s="77" t="s">
        <v>15</v>
      </c>
      <c r="K8" s="75" t="s">
        <v>16</v>
      </c>
      <c r="L8" s="75" t="s">
        <v>17</v>
      </c>
      <c r="M8" s="75" t="s">
        <v>59</v>
      </c>
    </row>
    <row r="9" spans="1:21" s="42" customFormat="1" ht="63.75" thickBot="1">
      <c r="A9" s="249" t="s">
        <v>46</v>
      </c>
      <c r="B9" s="249" t="s">
        <v>47</v>
      </c>
      <c r="C9" s="75" t="s">
        <v>7</v>
      </c>
      <c r="D9" s="78" t="s">
        <v>155</v>
      </c>
      <c r="E9" s="65" t="s">
        <v>151</v>
      </c>
      <c r="F9" s="65" t="s">
        <v>3</v>
      </c>
      <c r="G9" s="79" t="s">
        <v>64</v>
      </c>
      <c r="H9" s="65" t="s">
        <v>9</v>
      </c>
      <c r="I9" s="65" t="s">
        <v>2</v>
      </c>
      <c r="J9" s="65" t="s">
        <v>4</v>
      </c>
      <c r="K9" s="65" t="s">
        <v>5</v>
      </c>
      <c r="L9" s="65" t="s">
        <v>8</v>
      </c>
      <c r="M9" s="66" t="s">
        <v>182</v>
      </c>
    </row>
    <row r="10" spans="1:21" s="42" customFormat="1" ht="105">
      <c r="A10" s="249"/>
      <c r="B10" s="249"/>
      <c r="C10" s="67" t="s">
        <v>150</v>
      </c>
      <c r="D10" s="68" t="s">
        <v>158</v>
      </c>
      <c r="E10" s="68" t="s">
        <v>6</v>
      </c>
      <c r="F10" s="68" t="s">
        <v>160</v>
      </c>
      <c r="G10" s="68" t="s">
        <v>75</v>
      </c>
      <c r="H10" s="68" t="s">
        <v>6</v>
      </c>
      <c r="I10" s="68" t="s">
        <v>66</v>
      </c>
      <c r="J10" s="68" t="s">
        <v>153</v>
      </c>
      <c r="K10" s="68" t="s">
        <v>78</v>
      </c>
      <c r="L10" s="68" t="s">
        <v>79</v>
      </c>
      <c r="M10" s="68" t="s">
        <v>68</v>
      </c>
      <c r="O10" s="46" t="s">
        <v>54</v>
      </c>
      <c r="P10" s="47" t="s">
        <v>55</v>
      </c>
      <c r="Q10" s="48"/>
      <c r="R10" s="48" t="s">
        <v>80</v>
      </c>
      <c r="S10" s="48" t="s">
        <v>81</v>
      </c>
      <c r="T10" s="48"/>
      <c r="U10" s="49"/>
    </row>
    <row r="11" spans="1:21" s="133" customFormat="1" ht="40.9" customHeight="1">
      <c r="A11" s="95" t="s">
        <v>96</v>
      </c>
      <c r="B11" s="95" t="s">
        <v>117</v>
      </c>
      <c r="C11" s="99" t="s">
        <v>70</v>
      </c>
      <c r="D11" s="126">
        <f>($F$4*D$8)/19</f>
        <v>99724.751147368428</v>
      </c>
      <c r="E11" s="127">
        <f>'6 - IP_MCO and FFS %'!F4</f>
        <v>2240634.31</v>
      </c>
      <c r="F11" s="128">
        <f>E11/AVERAGE($E$11:$E$29)</f>
        <v>0.10044536366719208</v>
      </c>
      <c r="G11" s="128">
        <f>IF(F11&gt;=2,2,F11)</f>
        <v>0.10044536366719208</v>
      </c>
      <c r="H11" s="129">
        <v>0.9</v>
      </c>
      <c r="I11" s="130">
        <f xml:space="preserve"> (1 - H11)</f>
        <v>9.9999999999999978E-2</v>
      </c>
      <c r="J11" s="128">
        <f>I11 / (AVERAGE($I$11:$I$29))</f>
        <v>0.45130641330166249</v>
      </c>
      <c r="K11" s="128">
        <f xml:space="preserve"> G11 * J11</f>
        <v>4.533163680942158E-2</v>
      </c>
      <c r="L11" s="131">
        <f>$G$4*(K11/SUM($K$11:$K$29))+D11</f>
        <v>122445.06462188151</v>
      </c>
      <c r="M11" s="132">
        <f>L11/E11</f>
        <v>5.4647500520458206E-2</v>
      </c>
      <c r="O11" s="134">
        <f>'6 - IP_MCO and FFS %'!G4</f>
        <v>0.23546203307044783</v>
      </c>
      <c r="P11" s="135">
        <f t="shared" ref="P11:P29" si="0">100%-O11</f>
        <v>0.76453796692955223</v>
      </c>
      <c r="Q11" s="136"/>
      <c r="R11" s="105">
        <f t="shared" ref="R11:R29" si="1">$L11*O11</f>
        <v>28831.163855310584</v>
      </c>
      <c r="S11" s="105">
        <f t="shared" ref="S11:S29" si="2">$L11*P11</f>
        <v>93613.900766570936</v>
      </c>
      <c r="T11" s="105"/>
      <c r="U11" s="137"/>
    </row>
    <row r="12" spans="1:21" s="133" customFormat="1" ht="40.9" customHeight="1">
      <c r="A12" s="95" t="s">
        <v>97</v>
      </c>
      <c r="B12" s="95" t="s">
        <v>118</v>
      </c>
      <c r="C12" s="99" t="s">
        <v>44</v>
      </c>
      <c r="D12" s="126">
        <f t="shared" ref="D12:D29" si="3">($F$4*D$8)/19</f>
        <v>99724.751147368428</v>
      </c>
      <c r="E12" s="127">
        <f>'6 - IP_MCO and FFS %'!F5</f>
        <v>9416589.1999999993</v>
      </c>
      <c r="F12" s="128">
        <f t="shared" ref="F12:F29" si="4">E12/AVERAGE($E$11:$E$29)</f>
        <v>0.42213614353631546</v>
      </c>
      <c r="G12" s="128">
        <f t="shared" ref="G12:G29" si="5">IF(F12&gt;=2,2,F12)</f>
        <v>0.42213614353631546</v>
      </c>
      <c r="H12" s="129">
        <v>0.9</v>
      </c>
      <c r="I12" s="130">
        <f t="shared" ref="I12:I29" si="6" xml:space="preserve"> (1 - H12)</f>
        <v>9.9999999999999978E-2</v>
      </c>
      <c r="J12" s="128">
        <f t="shared" ref="J12:J29" si="7">I12 / (AVERAGE($I$11:$I$29))</f>
        <v>0.45130641330166249</v>
      </c>
      <c r="K12" s="128">
        <f t="shared" ref="K12:K29" si="8" xml:space="preserve"> G12 * J12</f>
        <v>0.19051274886437031</v>
      </c>
      <c r="L12" s="131">
        <f t="shared" ref="L12:L29" si="9">$G$4*(K12/SUM($K$11:$K$29))+D12</f>
        <v>195210.14897862557</v>
      </c>
      <c r="M12" s="132">
        <f t="shared" ref="M12:M29" si="10">L12/E12</f>
        <v>2.0730451847535792E-2</v>
      </c>
      <c r="O12" s="134">
        <f>'6 - IP_MCO and FFS %'!G5</f>
        <v>0.24614985115842156</v>
      </c>
      <c r="P12" s="135">
        <f t="shared" si="0"/>
        <v>0.75385014884157842</v>
      </c>
      <c r="Q12" s="136"/>
      <c r="R12" s="105">
        <f t="shared" si="1"/>
        <v>48050.94911570198</v>
      </c>
      <c r="S12" s="105">
        <f t="shared" si="2"/>
        <v>147159.19986292359</v>
      </c>
      <c r="T12" s="105"/>
      <c r="U12" s="137"/>
    </row>
    <row r="13" spans="1:21" s="133" customFormat="1" ht="40.9" customHeight="1">
      <c r="A13" s="95" t="s">
        <v>100</v>
      </c>
      <c r="B13" s="95" t="s">
        <v>121</v>
      </c>
      <c r="C13" s="99" t="s">
        <v>40</v>
      </c>
      <c r="D13" s="126">
        <f t="shared" si="3"/>
        <v>99724.751147368428</v>
      </c>
      <c r="E13" s="127">
        <f>'6 - IP_MCO and FFS %'!F8</f>
        <v>2274590.1799999997</v>
      </c>
      <c r="F13" s="128">
        <f t="shared" si="4"/>
        <v>0.10196757088126703</v>
      </c>
      <c r="G13" s="128">
        <f t="shared" si="5"/>
        <v>0.10196757088126703</v>
      </c>
      <c r="H13" s="129">
        <v>0.64</v>
      </c>
      <c r="I13" s="130">
        <f t="shared" si="6"/>
        <v>0.36</v>
      </c>
      <c r="J13" s="128">
        <f t="shared" si="7"/>
        <v>1.6247030878859854</v>
      </c>
      <c r="K13" s="128">
        <f t="shared" si="8"/>
        <v>0.16566702727502763</v>
      </c>
      <c r="L13" s="131">
        <f t="shared" si="9"/>
        <v>182757.42009562574</v>
      </c>
      <c r="M13" s="132">
        <f t="shared" si="10"/>
        <v>8.0347405744812347E-2</v>
      </c>
      <c r="O13" s="134">
        <f>'6 - IP_MCO and FFS %'!G8</f>
        <v>0.24740336300933125</v>
      </c>
      <c r="P13" s="135">
        <f t="shared" si="0"/>
        <v>0.7525966369906687</v>
      </c>
      <c r="Q13" s="136"/>
      <c r="R13" s="105">
        <f>$L13*O13</f>
        <v>45214.800346566946</v>
      </c>
      <c r="S13" s="105">
        <f>$L13*P13</f>
        <v>137542.61974905879</v>
      </c>
      <c r="T13" s="105"/>
      <c r="U13" s="137"/>
    </row>
    <row r="14" spans="1:21" s="133" customFormat="1" ht="40.9" customHeight="1">
      <c r="A14" s="95" t="s">
        <v>86</v>
      </c>
      <c r="B14" s="95" t="s">
        <v>85</v>
      </c>
      <c r="C14" s="96" t="s">
        <v>87</v>
      </c>
      <c r="D14" s="126">
        <f t="shared" si="3"/>
        <v>99724.751147368428</v>
      </c>
      <c r="E14" s="148">
        <f>'6 - IP_MCO and FFS %'!F9</f>
        <v>61897200.710000001</v>
      </c>
      <c r="F14" s="128">
        <f t="shared" si="4"/>
        <v>2.7747887317217459</v>
      </c>
      <c r="G14" s="128">
        <f t="shared" si="5"/>
        <v>2</v>
      </c>
      <c r="H14" s="129">
        <v>0.83</v>
      </c>
      <c r="I14" s="130">
        <f t="shared" si="6"/>
        <v>0.17000000000000004</v>
      </c>
      <c r="J14" s="128">
        <f t="shared" si="7"/>
        <v>0.76722090261282661</v>
      </c>
      <c r="K14" s="128">
        <f t="shared" si="8"/>
        <v>1.5344418052256532</v>
      </c>
      <c r="L14" s="131">
        <f t="shared" si="9"/>
        <v>868790.27087902697</v>
      </c>
      <c r="M14" s="132">
        <f t="shared" si="10"/>
        <v>1.403601876843304E-2</v>
      </c>
      <c r="O14" s="134">
        <f>'6 - IP_MCO and FFS %'!G9</f>
        <v>0.49528647803691606</v>
      </c>
      <c r="P14" s="135">
        <f t="shared" si="0"/>
        <v>0.50471352196308394</v>
      </c>
      <c r="Q14" s="136"/>
      <c r="R14" s="105">
        <f>$L14*O14</f>
        <v>430300.07341641153</v>
      </c>
      <c r="S14" s="105">
        <f>$L14*P14</f>
        <v>438490.19746261544</v>
      </c>
      <c r="T14" s="105"/>
      <c r="U14" s="137"/>
    </row>
    <row r="15" spans="1:21" s="133" customFormat="1" ht="40.9" customHeight="1">
      <c r="A15" s="95" t="s">
        <v>104</v>
      </c>
      <c r="B15" s="95" t="s">
        <v>125</v>
      </c>
      <c r="C15" s="99" t="s">
        <v>145</v>
      </c>
      <c r="D15" s="126">
        <f t="shared" si="3"/>
        <v>99724.751147368428</v>
      </c>
      <c r="E15" s="127">
        <f>'6 - IP_MCO and FFS %'!F13</f>
        <v>174757427.13</v>
      </c>
      <c r="F15" s="128">
        <f t="shared" si="4"/>
        <v>7.8341982193496209</v>
      </c>
      <c r="G15" s="128">
        <f t="shared" si="5"/>
        <v>2</v>
      </c>
      <c r="H15" s="129">
        <v>0.78</v>
      </c>
      <c r="I15" s="130">
        <f t="shared" si="6"/>
        <v>0.21999999999999997</v>
      </c>
      <c r="J15" s="128">
        <f t="shared" si="7"/>
        <v>0.9928741092636576</v>
      </c>
      <c r="K15" s="128">
        <f t="shared" si="8"/>
        <v>1.9857482185273152</v>
      </c>
      <c r="L15" s="131">
        <f t="shared" si="9"/>
        <v>1094986.0119765729</v>
      </c>
      <c r="M15" s="132">
        <f t="shared" si="10"/>
        <v>6.2657480712509329E-3</v>
      </c>
      <c r="O15" s="134">
        <f>'6 - IP_MCO and FFS %'!G13</f>
        <v>0.39179278234090126</v>
      </c>
      <c r="P15" s="135">
        <f t="shared" si="0"/>
        <v>0.60820721765909869</v>
      </c>
      <c r="Q15" s="136"/>
      <c r="R15" s="105">
        <f t="shared" si="1"/>
        <v>429007.61625666893</v>
      </c>
      <c r="S15" s="105">
        <f t="shared" si="2"/>
        <v>665978.39571990387</v>
      </c>
      <c r="T15" s="105"/>
      <c r="U15" s="137"/>
    </row>
    <row r="16" spans="1:21" s="133" customFormat="1" ht="40.9" customHeight="1">
      <c r="A16" s="95">
        <v>112727604</v>
      </c>
      <c r="B16" s="95">
        <v>1891741468</v>
      </c>
      <c r="C16" s="99" t="s">
        <v>146</v>
      </c>
      <c r="D16" s="126">
        <f t="shared" si="3"/>
        <v>99724.751147368428</v>
      </c>
      <c r="E16" s="149">
        <f>'6 - IP_MCO and FFS %'!F14</f>
        <v>1383703.19</v>
      </c>
      <c r="F16" s="128">
        <f t="shared" si="4"/>
        <v>6.2030010656671485E-2</v>
      </c>
      <c r="G16" s="128">
        <f t="shared" si="5"/>
        <v>6.2030010656671485E-2</v>
      </c>
      <c r="H16" s="129">
        <v>0.6</v>
      </c>
      <c r="I16" s="130">
        <f t="shared" si="6"/>
        <v>0.4</v>
      </c>
      <c r="J16" s="128">
        <f t="shared" si="7"/>
        <v>1.8052256532066506</v>
      </c>
      <c r="K16" s="128">
        <f t="shared" si="8"/>
        <v>0.11197816650610529</v>
      </c>
      <c r="L16" s="131">
        <f t="shared" si="9"/>
        <v>155848.44807046652</v>
      </c>
      <c r="M16" s="132">
        <f t="shared" si="10"/>
        <v>0.11263141488491223</v>
      </c>
      <c r="O16" s="134">
        <f xml:space="preserve"> '6 - IP_MCO and FFS %'!G14</f>
        <v>0.24272516853849274</v>
      </c>
      <c r="P16" s="135">
        <f t="shared" si="0"/>
        <v>0.7572748314615072</v>
      </c>
      <c r="Q16" s="136"/>
      <c r="R16" s="105">
        <f t="shared" ref="R16" si="11">$L16*O16</f>
        <v>37828.340824366518</v>
      </c>
      <c r="S16" s="105">
        <f t="shared" ref="S16" si="12">$L16*P16</f>
        <v>118020.10724609999</v>
      </c>
      <c r="T16" s="105"/>
      <c r="U16" s="137"/>
    </row>
    <row r="17" spans="1:21" s="133" customFormat="1" ht="40.9" customHeight="1">
      <c r="A17" s="95" t="s">
        <v>106</v>
      </c>
      <c r="B17" s="95" t="s">
        <v>127</v>
      </c>
      <c r="C17" s="99" t="s">
        <v>42</v>
      </c>
      <c r="D17" s="126">
        <f t="shared" si="3"/>
        <v>99724.751147368428</v>
      </c>
      <c r="E17" s="127">
        <f>'6 - IP_MCO and FFS %'!F16</f>
        <v>10924029.98</v>
      </c>
      <c r="F17" s="128">
        <f t="shared" si="4"/>
        <v>0.48971318485809001</v>
      </c>
      <c r="G17" s="128">
        <f t="shared" si="5"/>
        <v>0.48971318485809001</v>
      </c>
      <c r="H17" s="129">
        <v>0.66</v>
      </c>
      <c r="I17" s="130">
        <f t="shared" si="6"/>
        <v>0.33999999999999997</v>
      </c>
      <c r="J17" s="128">
        <f t="shared" si="7"/>
        <v>1.5344418052256528</v>
      </c>
      <c r="K17" s="128">
        <f t="shared" si="8"/>
        <v>0.75143638341645147</v>
      </c>
      <c r="L17" s="131">
        <f t="shared" si="9"/>
        <v>476346.27617970109</v>
      </c>
      <c r="M17" s="132">
        <f t="shared" si="10"/>
        <v>4.3605361487638564E-2</v>
      </c>
      <c r="O17" s="134">
        <f>'6 - IP_MCO and FFS %'!G16</f>
        <v>0.40224247810055896</v>
      </c>
      <c r="P17" s="135">
        <f t="shared" si="0"/>
        <v>0.59775752189944109</v>
      </c>
      <c r="Q17" s="136"/>
      <c r="R17" s="105">
        <f t="shared" si="1"/>
        <v>191606.70656449624</v>
      </c>
      <c r="S17" s="105">
        <f t="shared" si="2"/>
        <v>284739.56961520488</v>
      </c>
      <c r="T17" s="105"/>
      <c r="U17" s="137"/>
    </row>
    <row r="18" spans="1:21" s="133" customFormat="1" ht="40.9" customHeight="1">
      <c r="A18" s="95" t="s">
        <v>107</v>
      </c>
      <c r="B18" s="95" t="s">
        <v>128</v>
      </c>
      <c r="C18" s="99" t="s">
        <v>35</v>
      </c>
      <c r="D18" s="126">
        <f t="shared" si="3"/>
        <v>99724.751147368428</v>
      </c>
      <c r="E18" s="127">
        <f>'6 - IP_MCO and FFS %'!F17</f>
        <v>16361092.76</v>
      </c>
      <c r="F18" s="128">
        <f t="shared" si="4"/>
        <v>0.73345119501935285</v>
      </c>
      <c r="G18" s="128">
        <f t="shared" si="5"/>
        <v>0.73345119501935285</v>
      </c>
      <c r="H18" s="129">
        <v>0.67</v>
      </c>
      <c r="I18" s="130">
        <f t="shared" si="6"/>
        <v>0.32999999999999996</v>
      </c>
      <c r="J18" s="128">
        <f t="shared" si="7"/>
        <v>1.4893111638954863</v>
      </c>
      <c r="K18" s="128">
        <f t="shared" si="8"/>
        <v>1.0923370529148078</v>
      </c>
      <c r="L18" s="131">
        <f t="shared" si="9"/>
        <v>647206.42198110453</v>
      </c>
      <c r="M18" s="132">
        <f t="shared" si="10"/>
        <v>3.9557652503713604E-2</v>
      </c>
      <c r="O18" s="134">
        <f>'6 - IP_MCO and FFS %'!G17</f>
        <v>0.46092031813650081</v>
      </c>
      <c r="P18" s="135">
        <f t="shared" si="0"/>
        <v>0.53907968186349919</v>
      </c>
      <c r="Q18" s="136"/>
      <c r="R18" s="105">
        <f t="shared" si="1"/>
        <v>298310.58991951711</v>
      </c>
      <c r="S18" s="105">
        <f t="shared" si="2"/>
        <v>348895.83206158743</v>
      </c>
      <c r="T18" s="105"/>
      <c r="U18" s="137"/>
    </row>
    <row r="19" spans="1:21" s="133" customFormat="1" ht="40.9" customHeight="1">
      <c r="A19" s="95" t="s">
        <v>108</v>
      </c>
      <c r="B19" s="95" t="s">
        <v>129</v>
      </c>
      <c r="C19" s="99" t="s">
        <v>43</v>
      </c>
      <c r="D19" s="126">
        <f t="shared" si="3"/>
        <v>99724.751147368428</v>
      </c>
      <c r="E19" s="127">
        <f>'6 - IP_MCO and FFS %'!F18</f>
        <v>7147508.8499999996</v>
      </c>
      <c r="F19" s="128">
        <f t="shared" si="4"/>
        <v>0.32041557274588184</v>
      </c>
      <c r="G19" s="128">
        <f t="shared" si="5"/>
        <v>0.32041557274588184</v>
      </c>
      <c r="H19" s="129">
        <v>0.83</v>
      </c>
      <c r="I19" s="130">
        <f t="shared" si="6"/>
        <v>0.17000000000000004</v>
      </c>
      <c r="J19" s="128">
        <f t="shared" si="7"/>
        <v>0.76722090261282661</v>
      </c>
      <c r="K19" s="128">
        <f t="shared" si="8"/>
        <v>0.24582952493330126</v>
      </c>
      <c r="L19" s="131">
        <f t="shared" si="9"/>
        <v>222935.03563933275</v>
      </c>
      <c r="M19" s="132">
        <f t="shared" si="10"/>
        <v>3.1190592459264008E-2</v>
      </c>
      <c r="O19" s="150">
        <f>'6 - IP_MCO and FFS %'!G18</f>
        <v>0.31039955690296211</v>
      </c>
      <c r="P19" s="135">
        <f t="shared" si="0"/>
        <v>0.68960044309703794</v>
      </c>
      <c r="Q19" s="151"/>
      <c r="R19" s="105">
        <f t="shared" si="1"/>
        <v>69198.936280594949</v>
      </c>
      <c r="S19" s="105">
        <f t="shared" si="2"/>
        <v>153736.09935873782</v>
      </c>
      <c r="T19" s="152"/>
      <c r="U19" s="137"/>
    </row>
    <row r="20" spans="1:21" s="133" customFormat="1" ht="40.9" customHeight="1">
      <c r="A20" s="95" t="s">
        <v>112</v>
      </c>
      <c r="B20" s="95" t="s">
        <v>133</v>
      </c>
      <c r="C20" s="99" t="s">
        <v>37</v>
      </c>
      <c r="D20" s="126">
        <f t="shared" si="3"/>
        <v>99724.751147368428</v>
      </c>
      <c r="E20" s="127">
        <f>'6 - IP_MCO and FFS %'!F22</f>
        <v>25389677.629999999</v>
      </c>
      <c r="F20" s="128">
        <f t="shared" si="4"/>
        <v>1.1381934979555504</v>
      </c>
      <c r="G20" s="128">
        <f t="shared" si="5"/>
        <v>1.1381934979555504</v>
      </c>
      <c r="H20" s="129">
        <v>0.86</v>
      </c>
      <c r="I20" s="130">
        <f t="shared" si="6"/>
        <v>0.14000000000000001</v>
      </c>
      <c r="J20" s="128">
        <f t="shared" si="7"/>
        <v>0.63182897862232767</v>
      </c>
      <c r="K20" s="128">
        <f t="shared" si="8"/>
        <v>0.71914363528782976</v>
      </c>
      <c r="L20" s="131">
        <f t="shared" si="9"/>
        <v>460161.08164281875</v>
      </c>
      <c r="M20" s="132">
        <f t="shared" si="10"/>
        <v>1.8123943452480092E-2</v>
      </c>
      <c r="O20" s="134">
        <f>'6 - IP_MCO and FFS %'!G22</f>
        <v>0.38165363937312818</v>
      </c>
      <c r="P20" s="135">
        <f t="shared" si="0"/>
        <v>0.61834636062687176</v>
      </c>
      <c r="Q20" s="136"/>
      <c r="R20" s="105">
        <f t="shared" si="1"/>
        <v>175622.15150685696</v>
      </c>
      <c r="S20" s="105">
        <f t="shared" si="2"/>
        <v>284538.9301359618</v>
      </c>
      <c r="T20" s="105"/>
      <c r="U20" s="137"/>
    </row>
    <row r="21" spans="1:21" s="133" customFormat="1" ht="40.9" customHeight="1">
      <c r="A21" s="95" t="s">
        <v>113</v>
      </c>
      <c r="B21" s="95" t="s">
        <v>134</v>
      </c>
      <c r="C21" s="99" t="s">
        <v>49</v>
      </c>
      <c r="D21" s="126">
        <f t="shared" si="3"/>
        <v>99724.751147368428</v>
      </c>
      <c r="E21" s="127">
        <f>'6 - IP_MCO and FFS %'!F23</f>
        <v>23109551.420000002</v>
      </c>
      <c r="F21" s="128">
        <f t="shared" si="4"/>
        <v>1.0359777524640221</v>
      </c>
      <c r="G21" s="128">
        <f t="shared" si="5"/>
        <v>1.0359777524640221</v>
      </c>
      <c r="H21" s="129">
        <v>0.83</v>
      </c>
      <c r="I21" s="130">
        <f t="shared" si="6"/>
        <v>0.17000000000000004</v>
      </c>
      <c r="J21" s="128">
        <f t="shared" si="7"/>
        <v>0.76722090261282661</v>
      </c>
      <c r="K21" s="128">
        <f t="shared" si="8"/>
        <v>0.79482378633225448</v>
      </c>
      <c r="L21" s="131">
        <f t="shared" si="9"/>
        <v>498092.13546195778</v>
      </c>
      <c r="M21" s="132">
        <f t="shared" si="10"/>
        <v>2.1553518128044985E-2</v>
      </c>
      <c r="O21" s="134">
        <f>'6 - IP_MCO and FFS %'!G23</f>
        <v>0.2960754661848819</v>
      </c>
      <c r="P21" s="135">
        <f t="shared" si="0"/>
        <v>0.7039245338151181</v>
      </c>
      <c r="Q21" s="136"/>
      <c r="R21" s="105">
        <f t="shared" si="1"/>
        <v>147472.8612099225</v>
      </c>
      <c r="S21" s="105">
        <f t="shared" si="2"/>
        <v>350619.27425203531</v>
      </c>
      <c r="T21" s="105"/>
      <c r="U21" s="137"/>
    </row>
    <row r="22" spans="1:21" s="133" customFormat="1" ht="40.9" customHeight="1">
      <c r="A22" s="95" t="s">
        <v>138</v>
      </c>
      <c r="B22" s="95" t="s">
        <v>141</v>
      </c>
      <c r="C22" s="99" t="s">
        <v>50</v>
      </c>
      <c r="D22" s="126">
        <f t="shared" si="3"/>
        <v>99724.751147368428</v>
      </c>
      <c r="E22" s="127">
        <f>'6 - IP_MCO and FFS %'!F24</f>
        <v>5113351.18</v>
      </c>
      <c r="F22" s="128">
        <f t="shared" si="4"/>
        <v>0.22922634744139292</v>
      </c>
      <c r="G22" s="128">
        <f t="shared" si="5"/>
        <v>0.22922634744139292</v>
      </c>
      <c r="H22" s="129">
        <v>0.79</v>
      </c>
      <c r="I22" s="130">
        <f t="shared" si="6"/>
        <v>0.20999999999999996</v>
      </c>
      <c r="J22" s="128">
        <f t="shared" si="7"/>
        <v>0.94774346793349129</v>
      </c>
      <c r="K22" s="128">
        <f t="shared" si="8"/>
        <v>0.2172477734658331</v>
      </c>
      <c r="L22" s="131">
        <f t="shared" si="9"/>
        <v>208609.80057840649</v>
      </c>
      <c r="M22" s="132">
        <f t="shared" si="10"/>
        <v>4.0797080668808376E-2</v>
      </c>
      <c r="O22" s="134">
        <f>'6 - IP_MCO and FFS %'!G24</f>
        <v>0.19385555677793287</v>
      </c>
      <c r="P22" s="135">
        <f t="shared" si="0"/>
        <v>0.80614444322206713</v>
      </c>
      <c r="Q22" s="136"/>
      <c r="R22" s="105">
        <f t="shared" si="1"/>
        <v>40440.169040460532</v>
      </c>
      <c r="S22" s="105">
        <f t="shared" si="2"/>
        <v>168169.63153794597</v>
      </c>
      <c r="T22" s="105"/>
      <c r="U22" s="137"/>
    </row>
    <row r="23" spans="1:21" s="133" customFormat="1" ht="40.9" customHeight="1">
      <c r="A23" s="95">
        <v>136143806</v>
      </c>
      <c r="B23" s="95">
        <v>1255325817</v>
      </c>
      <c r="C23" s="99" t="s">
        <v>147</v>
      </c>
      <c r="D23" s="126">
        <f t="shared" si="3"/>
        <v>99724.751147368428</v>
      </c>
      <c r="E23" s="127">
        <v>5459472.2800000003</v>
      </c>
      <c r="F23" s="128">
        <f t="shared" si="4"/>
        <v>0.24474260531856012</v>
      </c>
      <c r="G23" s="128">
        <f t="shared" si="5"/>
        <v>0.24474260531856012</v>
      </c>
      <c r="H23" s="129">
        <v>0.72</v>
      </c>
      <c r="I23" s="130">
        <f t="shared" si="6"/>
        <v>0.28000000000000003</v>
      </c>
      <c r="J23" s="128">
        <f t="shared" si="7"/>
        <v>1.2636579572446553</v>
      </c>
      <c r="K23" s="128">
        <f t="shared" si="8"/>
        <v>0.30927094068758659</v>
      </c>
      <c r="L23" s="131">
        <f t="shared" si="9"/>
        <v>254732.00911426137</v>
      </c>
      <c r="M23" s="132">
        <f t="shared" si="10"/>
        <v>4.6658723783145825E-2</v>
      </c>
      <c r="O23" s="134">
        <f xml:space="preserve"> '6 - IP_MCO and FFS %'!G25</f>
        <v>0.36915511181970873</v>
      </c>
      <c r="P23" s="135">
        <f t="shared" si="0"/>
        <v>0.63084488818029127</v>
      </c>
      <c r="Q23" s="136"/>
      <c r="R23" s="105">
        <f t="shared" ref="R23" si="13">$L23*O23</f>
        <v>94035.623308634211</v>
      </c>
      <c r="S23" s="105">
        <f t="shared" ref="S23" si="14">$L23*P23</f>
        <v>160696.38580562716</v>
      </c>
      <c r="T23" s="105"/>
      <c r="U23" s="137"/>
    </row>
    <row r="24" spans="1:21" s="133" customFormat="1" ht="40.9" customHeight="1">
      <c r="A24" s="95" t="s">
        <v>92</v>
      </c>
      <c r="B24" s="95" t="s">
        <v>91</v>
      </c>
      <c r="C24" s="96" t="s">
        <v>82</v>
      </c>
      <c r="D24" s="126">
        <f t="shared" si="3"/>
        <v>99724.751147368428</v>
      </c>
      <c r="E24" s="148">
        <f>'6 - IP_MCO and FFS %'!F27</f>
        <v>21399833.699999999</v>
      </c>
      <c r="F24" s="128">
        <f t="shared" si="4"/>
        <v>0.95933284107121097</v>
      </c>
      <c r="G24" s="128">
        <f t="shared" si="5"/>
        <v>0.95933284107121097</v>
      </c>
      <c r="H24" s="129">
        <v>0.81</v>
      </c>
      <c r="I24" s="130">
        <f t="shared" si="6"/>
        <v>0.18999999999999995</v>
      </c>
      <c r="J24" s="128">
        <f t="shared" si="7"/>
        <v>0.85748218527315878</v>
      </c>
      <c r="K24" s="128">
        <f t="shared" si="8"/>
        <v>0.82261082096604987</v>
      </c>
      <c r="L24" s="131">
        <f t="shared" si="9"/>
        <v>512019.05674347142</v>
      </c>
      <c r="M24" s="132">
        <f t="shared" si="10"/>
        <v>2.3926310078917642E-2</v>
      </c>
      <c r="O24" s="134">
        <f>'6 - IP_MCO and FFS %'!G27</f>
        <v>0.30727254670208026</v>
      </c>
      <c r="P24" s="135">
        <f t="shared" si="0"/>
        <v>0.69272745329791974</v>
      </c>
      <c r="Q24" s="136"/>
      <c r="R24" s="105">
        <f t="shared" si="1"/>
        <v>157329.39952556341</v>
      </c>
      <c r="S24" s="105">
        <f t="shared" si="2"/>
        <v>354689.65721790801</v>
      </c>
      <c r="T24" s="105"/>
      <c r="U24" s="137"/>
    </row>
    <row r="25" spans="1:21" s="133" customFormat="1" ht="40.9" customHeight="1">
      <c r="A25" s="95" t="s">
        <v>94</v>
      </c>
      <c r="B25" s="95" t="s">
        <v>93</v>
      </c>
      <c r="C25" s="96" t="s">
        <v>95</v>
      </c>
      <c r="D25" s="126">
        <f t="shared" si="3"/>
        <v>99724.751147368428</v>
      </c>
      <c r="E25" s="153">
        <f>'6 - IP_MCO and FFS %'!F30</f>
        <v>27608600.379999999</v>
      </c>
      <c r="F25" s="128">
        <f t="shared" si="4"/>
        <v>1.237665554407795</v>
      </c>
      <c r="G25" s="128">
        <f t="shared" si="5"/>
        <v>1.237665554407795</v>
      </c>
      <c r="H25" s="129">
        <v>0.84</v>
      </c>
      <c r="I25" s="130">
        <f t="shared" si="6"/>
        <v>0.16000000000000003</v>
      </c>
      <c r="J25" s="128">
        <f t="shared" si="7"/>
        <v>0.7220902612826603</v>
      </c>
      <c r="K25" s="128">
        <f t="shared" si="8"/>
        <v>0.89370624356287331</v>
      </c>
      <c r="L25" s="131">
        <f t="shared" si="9"/>
        <v>547652.23484365176</v>
      </c>
      <c r="M25" s="132">
        <f t="shared" si="10"/>
        <v>1.9836291130512274E-2</v>
      </c>
      <c r="O25" s="134">
        <f>'6 - IP_MCO and FFS %'!G30</f>
        <v>0.27706217101614622</v>
      </c>
      <c r="P25" s="135">
        <f t="shared" si="0"/>
        <v>0.72293782898385373</v>
      </c>
      <c r="Q25" s="136"/>
      <c r="R25" s="105">
        <f t="shared" si="1"/>
        <v>151733.71714762651</v>
      </c>
      <c r="S25" s="105">
        <f t="shared" si="2"/>
        <v>395918.5176960252</v>
      </c>
      <c r="T25" s="105"/>
      <c r="U25" s="137"/>
    </row>
    <row r="26" spans="1:21" s="133" customFormat="1" ht="40.9" customHeight="1">
      <c r="A26" s="95" t="s">
        <v>116</v>
      </c>
      <c r="B26" s="95" t="s">
        <v>137</v>
      </c>
      <c r="C26" s="99" t="s">
        <v>45</v>
      </c>
      <c r="D26" s="126">
        <f t="shared" si="3"/>
        <v>99724.751147368428</v>
      </c>
      <c r="E26" s="127">
        <f>'6 - IP_MCO and FFS %'!F31</f>
        <v>5180283.21</v>
      </c>
      <c r="F26" s="128">
        <f t="shared" si="4"/>
        <v>0.23222684246386421</v>
      </c>
      <c r="G26" s="128">
        <f t="shared" si="5"/>
        <v>0.23222684246386421</v>
      </c>
      <c r="H26" s="129">
        <v>0.9</v>
      </c>
      <c r="I26" s="130">
        <f t="shared" si="6"/>
        <v>9.9999999999999978E-2</v>
      </c>
      <c r="J26" s="128">
        <f t="shared" si="7"/>
        <v>0.45130641330166249</v>
      </c>
      <c r="K26" s="128">
        <f t="shared" si="8"/>
        <v>0.10480546334473677</v>
      </c>
      <c r="L26" s="131">
        <f t="shared" si="9"/>
        <v>152253.47388122536</v>
      </c>
      <c r="M26" s="132">
        <f t="shared" si="10"/>
        <v>2.9390955611715553E-2</v>
      </c>
      <c r="O26" s="134">
        <f>'6 - IP_MCO and FFS %'!G31</f>
        <v>0.17519812589551451</v>
      </c>
      <c r="P26" s="135">
        <f t="shared" si="0"/>
        <v>0.82480187410448547</v>
      </c>
      <c r="Q26" s="136"/>
      <c r="R26" s="105">
        <f t="shared" si="1"/>
        <v>26674.523285072351</v>
      </c>
      <c r="S26" s="105">
        <f t="shared" si="2"/>
        <v>125578.95059615301</v>
      </c>
      <c r="T26" s="105"/>
      <c r="U26" s="137"/>
    </row>
    <row r="27" spans="1:21" s="133" customFormat="1" ht="40.9" customHeight="1">
      <c r="A27" s="95" t="s">
        <v>89</v>
      </c>
      <c r="B27" s="95" t="s">
        <v>88</v>
      </c>
      <c r="C27" s="96" t="s">
        <v>90</v>
      </c>
      <c r="D27" s="126">
        <f t="shared" si="3"/>
        <v>99724.751147368428</v>
      </c>
      <c r="E27" s="148">
        <f>'6 - IP_MCO and FFS %'!F32</f>
        <v>10402034.25</v>
      </c>
      <c r="F27" s="128">
        <f t="shared" si="4"/>
        <v>0.46631264568997766</v>
      </c>
      <c r="G27" s="128">
        <f t="shared" si="5"/>
        <v>0.46631264568997766</v>
      </c>
      <c r="H27" s="129">
        <v>0.61</v>
      </c>
      <c r="I27" s="130">
        <f t="shared" si="6"/>
        <v>0.39</v>
      </c>
      <c r="J27" s="128">
        <f t="shared" si="7"/>
        <v>1.7600950118764842</v>
      </c>
      <c r="K27" s="128">
        <f t="shared" si="8"/>
        <v>0.82075456165385596</v>
      </c>
      <c r="L27" s="131">
        <f t="shared" si="9"/>
        <v>511088.69559987681</v>
      </c>
      <c r="M27" s="132">
        <f t="shared" si="10"/>
        <v>4.9133533241334675E-2</v>
      </c>
      <c r="O27" s="134">
        <f>'6 - IP_MCO and FFS %'!G32</f>
        <v>0.27381031167052733</v>
      </c>
      <c r="P27" s="135">
        <f t="shared" si="0"/>
        <v>0.72618968832947273</v>
      </c>
      <c r="Q27" s="136"/>
      <c r="R27" s="105">
        <f t="shared" ref="R27" si="15">$L27*O27</f>
        <v>139941.35503348554</v>
      </c>
      <c r="S27" s="105">
        <f t="shared" ref="S27" si="16">$L27*P27</f>
        <v>371147.3405663913</v>
      </c>
      <c r="T27" s="105"/>
      <c r="U27" s="137"/>
    </row>
    <row r="28" spans="1:21" s="133" customFormat="1" ht="40.9" customHeight="1">
      <c r="A28" s="95" t="s">
        <v>139</v>
      </c>
      <c r="B28" s="95" t="s">
        <v>142</v>
      </c>
      <c r="C28" s="99" t="s">
        <v>48</v>
      </c>
      <c r="D28" s="126">
        <f t="shared" si="3"/>
        <v>99724.751147368428</v>
      </c>
      <c r="E28" s="127">
        <f>'6 - IP_MCO and FFS %'!F33</f>
        <v>12494874.15</v>
      </c>
      <c r="F28" s="128">
        <f t="shared" si="4"/>
        <v>0.56013253584988054</v>
      </c>
      <c r="G28" s="128">
        <f t="shared" si="5"/>
        <v>0.56013253584988054</v>
      </c>
      <c r="H28" s="129">
        <v>0.86</v>
      </c>
      <c r="I28" s="130">
        <f t="shared" si="6"/>
        <v>0.14000000000000001</v>
      </c>
      <c r="J28" s="128">
        <f t="shared" si="7"/>
        <v>0.63182897862232767</v>
      </c>
      <c r="K28" s="128">
        <f t="shared" si="8"/>
        <v>0.35390796801916435</v>
      </c>
      <c r="L28" s="131">
        <f t="shared" si="9"/>
        <v>277104.18283054495</v>
      </c>
      <c r="M28" s="132">
        <f t="shared" si="10"/>
        <v>2.2177428880349702E-2</v>
      </c>
      <c r="O28" s="134">
        <f>'6 - IP_MCO and FFS %'!G33</f>
        <v>0.46568325780216041</v>
      </c>
      <c r="P28" s="135">
        <f t="shared" si="0"/>
        <v>0.53431674219783964</v>
      </c>
      <c r="Q28" s="136"/>
      <c r="R28" s="105">
        <f t="shared" si="1"/>
        <v>129042.77861113366</v>
      </c>
      <c r="S28" s="105">
        <f t="shared" si="2"/>
        <v>148061.40421941131</v>
      </c>
      <c r="T28" s="105"/>
      <c r="U28" s="137"/>
    </row>
    <row r="29" spans="1:21" s="133" customFormat="1" ht="40.9" customHeight="1" thickBot="1">
      <c r="A29" s="95" t="s">
        <v>140</v>
      </c>
      <c r="B29" s="95" t="s">
        <v>143</v>
      </c>
      <c r="C29" s="99" t="s">
        <v>51</v>
      </c>
      <c r="D29" s="126">
        <f t="shared" si="3"/>
        <v>99724.751147368428</v>
      </c>
      <c r="E29" s="127">
        <f>'6 - IP_MCO and FFS %'!F34</f>
        <v>1272466.55</v>
      </c>
      <c r="F29" s="128">
        <f t="shared" si="4"/>
        <v>5.7043384901611746E-2</v>
      </c>
      <c r="G29" s="128">
        <f t="shared" si="5"/>
        <v>5.7043384901611746E-2</v>
      </c>
      <c r="H29" s="129">
        <v>0.76</v>
      </c>
      <c r="I29" s="130">
        <f t="shared" si="6"/>
        <v>0.24</v>
      </c>
      <c r="J29" s="128">
        <f t="shared" si="7"/>
        <v>1.0831353919239903</v>
      </c>
      <c r="K29" s="128">
        <f t="shared" si="8"/>
        <v>6.1785709062078274E-2</v>
      </c>
      <c r="L29" s="131">
        <f t="shared" si="9"/>
        <v>130691.88088144684</v>
      </c>
      <c r="M29" s="132">
        <f t="shared" si="10"/>
        <v>0.10270751783726403</v>
      </c>
      <c r="O29" s="134">
        <f>'6 - IP_MCO and FFS %'!G34</f>
        <v>0.16288186907545821</v>
      </c>
      <c r="P29" s="135">
        <f t="shared" si="0"/>
        <v>0.83711813092454179</v>
      </c>
      <c r="Q29" s="136"/>
      <c r="R29" s="105">
        <f t="shared" si="1"/>
        <v>21287.337830957204</v>
      </c>
      <c r="S29" s="105">
        <f t="shared" si="2"/>
        <v>109404.54305048964</v>
      </c>
      <c r="T29" s="105"/>
      <c r="U29" s="137"/>
    </row>
    <row r="30" spans="1:21" s="133" customFormat="1" ht="40.9" customHeight="1" thickBot="1">
      <c r="A30" s="136"/>
      <c r="B30" s="136"/>
      <c r="C30" s="154" t="s">
        <v>60</v>
      </c>
      <c r="D30" s="105">
        <f>SUM(D11:D29)</f>
        <v>1894770.2718000005</v>
      </c>
      <c r="E30" s="105">
        <f>AVERAGE(E11:E29)</f>
        <v>22306995.845263153</v>
      </c>
      <c r="F30" s="155"/>
      <c r="G30" s="155"/>
      <c r="H30" s="156">
        <f xml:space="preserve"> AVERAGE(H11:H29)</f>
        <v>0.7784210526315789</v>
      </c>
      <c r="I30" s="157">
        <f xml:space="preserve"> AVERAGE(I11:I29)</f>
        <v>0.2215789473684211</v>
      </c>
      <c r="J30" s="136"/>
      <c r="K30" s="157">
        <f>SUM(K11:K29)</f>
        <v>11.221339466854719</v>
      </c>
      <c r="L30" s="158">
        <f>SUM(L11:L29)</f>
        <v>7518929.6499999985</v>
      </c>
      <c r="M30" s="159">
        <f>AVERAGE(M11:M29)</f>
        <v>4.0911444689504833E-2</v>
      </c>
      <c r="O30" s="160"/>
      <c r="P30" s="161"/>
      <c r="Q30" s="162"/>
      <c r="R30" s="60">
        <f>SUM(R11:R29)</f>
        <v>2661929.0930793476</v>
      </c>
      <c r="S30" s="60">
        <f>SUM(S11:S29)</f>
        <v>4857000.5569206513</v>
      </c>
      <c r="T30" s="106"/>
      <c r="U30" s="107">
        <f>SUM(R30:T30)</f>
        <v>7518929.6499999985</v>
      </c>
    </row>
    <row r="31" spans="1:21" ht="40.9" customHeight="1"/>
    <row r="32" spans="1:21" ht="40.9" customHeight="1">
      <c r="C32" s="40" t="s">
        <v>20</v>
      </c>
      <c r="D32" s="41" t="s">
        <v>167</v>
      </c>
    </row>
    <row r="33" spans="3:13" ht="40.9" customHeight="1">
      <c r="C33" s="40" t="s">
        <v>19</v>
      </c>
      <c r="D33" s="41" t="s">
        <v>154</v>
      </c>
    </row>
    <row r="35" spans="3:13">
      <c r="L35" s="108"/>
      <c r="M35" s="108"/>
    </row>
  </sheetData>
  <sortState ref="A11:U25">
    <sortCondition ref="C11:C25"/>
  </sortState>
  <mergeCells count="8">
    <mergeCell ref="H4:M4"/>
    <mergeCell ref="E4:E5"/>
    <mergeCell ref="A1:U1"/>
    <mergeCell ref="A9:A10"/>
    <mergeCell ref="B9:B10"/>
    <mergeCell ref="E7:G7"/>
    <mergeCell ref="H7:J7"/>
    <mergeCell ref="K7:M7"/>
  </mergeCells>
  <pageMargins left="0.5" right="0.5" top="0.5" bottom="0.5" header="0.3" footer="0.3"/>
  <pageSetup paperSize="5" scale="3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4"/>
  <sheetViews>
    <sheetView zoomScale="85" zoomScaleNormal="85" workbookViewId="0">
      <selection activeCell="C19" sqref="C19"/>
    </sheetView>
  </sheetViews>
  <sheetFormatPr defaultColWidth="8.7109375" defaultRowHeight="15"/>
  <cols>
    <col min="1" max="1" width="12.140625" style="28" customWidth="1"/>
    <col min="2" max="2" width="11.5703125" style="28" customWidth="1"/>
    <col min="3" max="3" width="87.5703125" style="29" customWidth="1"/>
    <col min="4" max="4" width="12.85546875" style="28" bestFit="1" customWidth="1"/>
    <col min="5" max="5" width="13.5703125" style="28" customWidth="1"/>
    <col min="6" max="6" width="13.28515625" style="28" bestFit="1" customWidth="1"/>
    <col min="7" max="7" width="10.85546875" style="28" customWidth="1"/>
    <col min="8" max="8" width="10" style="28" customWidth="1"/>
    <col min="9" max="9" width="9.42578125" style="28" customWidth="1"/>
    <col min="10" max="10" width="11.7109375" style="30" customWidth="1"/>
    <col min="11" max="16384" width="8.7109375" style="28"/>
  </cols>
  <sheetData>
    <row r="1" spans="1:10" ht="60" customHeight="1">
      <c r="A1" s="80" t="s">
        <v>46</v>
      </c>
      <c r="B1" s="200" t="s">
        <v>47</v>
      </c>
      <c r="C1" s="200" t="s">
        <v>83</v>
      </c>
      <c r="D1" s="81" t="s">
        <v>24</v>
      </c>
      <c r="E1" s="82" t="s">
        <v>25</v>
      </c>
      <c r="F1" s="82" t="s">
        <v>26</v>
      </c>
      <c r="G1" s="81" t="s">
        <v>185</v>
      </c>
      <c r="H1" s="81" t="s">
        <v>53</v>
      </c>
      <c r="I1" s="81" t="s">
        <v>52</v>
      </c>
      <c r="J1" s="83" t="s">
        <v>84</v>
      </c>
    </row>
    <row r="2" spans="1:10" ht="17.25">
      <c r="A2" s="199">
        <v>112705203</v>
      </c>
      <c r="B2" s="201">
        <v>1851344162</v>
      </c>
      <c r="C2" s="202" t="s">
        <v>148</v>
      </c>
      <c r="D2" s="85">
        <f xml:space="preserve"> '3 - PPC AWARD'!L11</f>
        <v>109430.29055718367</v>
      </c>
      <c r="E2" s="86">
        <v>0</v>
      </c>
      <c r="F2" s="88">
        <f>D2+E2</f>
        <v>109430.29055718367</v>
      </c>
      <c r="G2" s="84">
        <f>F2/'2 - NOTES '!C$19</f>
        <v>7.2769859309152916E-3</v>
      </c>
      <c r="H2" s="84">
        <f t="shared" ref="H2:H33" si="0">D2/D$34</f>
        <v>1.4553971861830587E-2</v>
      </c>
      <c r="I2" s="84">
        <f t="shared" ref="I2:I33" si="1">E2/E$34</f>
        <v>0</v>
      </c>
      <c r="J2" s="104">
        <f>F2/'6 - IP_MCO and FFS %'!F3</f>
        <v>3.2492691051537737E-2</v>
      </c>
    </row>
    <row r="3" spans="1:10" ht="17.25">
      <c r="A3" s="97" t="s">
        <v>96</v>
      </c>
      <c r="B3" s="97" t="s">
        <v>117</v>
      </c>
      <c r="C3" s="92" t="s">
        <v>70</v>
      </c>
      <c r="D3" s="85">
        <f xml:space="preserve"> '3 - PPC AWARD'!L12</f>
        <v>107115.25866493807</v>
      </c>
      <c r="E3" s="85">
        <f xml:space="preserve"> '4 - PPR AWARD'!L11</f>
        <v>122445.06462188151</v>
      </c>
      <c r="F3" s="88">
        <f>D3+E3</f>
        <v>229560.32328681956</v>
      </c>
      <c r="G3" s="84">
        <f>F3/'2 - NOTES '!C$19</f>
        <v>1.5265492162625804E-2</v>
      </c>
      <c r="H3" s="84">
        <f t="shared" si="0"/>
        <v>1.4246078052470952E-2</v>
      </c>
      <c r="I3" s="84">
        <f t="shared" si="1"/>
        <v>1.6284906272780664E-2</v>
      </c>
      <c r="J3" s="104">
        <f>F3/'6 - IP_MCO and FFS %'!F4</f>
        <v>0.10245327506692493</v>
      </c>
    </row>
    <row r="4" spans="1:10" ht="17.25">
      <c r="A4" s="97" t="s">
        <v>97</v>
      </c>
      <c r="B4" s="97" t="s">
        <v>118</v>
      </c>
      <c r="C4" s="92" t="s">
        <v>44</v>
      </c>
      <c r="D4" s="85">
        <f xml:space="preserve"> '3 - PPC AWARD'!L13</f>
        <v>265684.70759397739</v>
      </c>
      <c r="E4" s="85">
        <f xml:space="preserve"> '4 - PPR AWARD'!L12</f>
        <v>195210.14897862557</v>
      </c>
      <c r="F4" s="88">
        <f t="shared" ref="F4:F33" si="2">D4+E4</f>
        <v>460894.85657260299</v>
      </c>
      <c r="G4" s="84">
        <f>F4/'2 - NOTES '!C$19</f>
        <v>3.0648967208557601E-2</v>
      </c>
      <c r="H4" s="84">
        <f t="shared" si="0"/>
        <v>3.533544267088301E-2</v>
      </c>
      <c r="I4" s="84">
        <f t="shared" si="1"/>
        <v>2.5962491746232205E-2</v>
      </c>
      <c r="J4" s="104">
        <f>F4/'6 - IP_MCO and FFS %'!F5</f>
        <v>4.8944989187019332E-2</v>
      </c>
    </row>
    <row r="5" spans="1:10" ht="17.25">
      <c r="A5" s="97" t="s">
        <v>98</v>
      </c>
      <c r="B5" s="97" t="s">
        <v>119</v>
      </c>
      <c r="C5" s="92" t="s">
        <v>39</v>
      </c>
      <c r="D5" s="85">
        <f xml:space="preserve"> '3 - PPC AWARD'!L14</f>
        <v>247867.28056215285</v>
      </c>
      <c r="E5" s="86">
        <v>0</v>
      </c>
      <c r="F5" s="88">
        <f t="shared" si="2"/>
        <v>247867.28056215285</v>
      </c>
      <c r="G5" s="84">
        <f>F5/'2 - NOTES '!C$19</f>
        <v>1.6482883342455054E-2</v>
      </c>
      <c r="H5" s="84">
        <f t="shared" si="0"/>
        <v>3.2965766684910122E-2</v>
      </c>
      <c r="I5" s="84">
        <f t="shared" si="1"/>
        <v>0</v>
      </c>
      <c r="J5" s="104">
        <f>F5/'6 - IP_MCO and FFS %'!F6</f>
        <v>1.2001432932785832E-2</v>
      </c>
    </row>
    <row r="6" spans="1:10" ht="17.25">
      <c r="A6" s="97" t="s">
        <v>99</v>
      </c>
      <c r="B6" s="97" t="s">
        <v>120</v>
      </c>
      <c r="C6" s="92" t="s">
        <v>32</v>
      </c>
      <c r="D6" s="85">
        <f xml:space="preserve"> '3 - PPC AWARD'!L15</f>
        <v>156968.6771908162</v>
      </c>
      <c r="E6" s="86">
        <v>0</v>
      </c>
      <c r="F6" s="88">
        <f t="shared" si="2"/>
        <v>156968.6771908162</v>
      </c>
      <c r="G6" s="84">
        <f>F6/'2 - NOTES '!C$19</f>
        <v>1.0438232866749605E-2</v>
      </c>
      <c r="H6" s="84">
        <f t="shared" si="0"/>
        <v>2.0876465733499213E-2</v>
      </c>
      <c r="I6" s="84">
        <f t="shared" si="1"/>
        <v>0</v>
      </c>
      <c r="J6" s="104">
        <f>F6/'6 - IP_MCO and FFS %'!F7</f>
        <v>1.124480353569577E-2</v>
      </c>
    </row>
    <row r="7" spans="1:10" ht="17.25">
      <c r="A7" s="97" t="s">
        <v>100</v>
      </c>
      <c r="B7" s="97" t="s">
        <v>121</v>
      </c>
      <c r="C7" s="92" t="s">
        <v>40</v>
      </c>
      <c r="D7" s="85">
        <f>'3 - PPC AWARD'!L16</f>
        <v>118876.80742058395</v>
      </c>
      <c r="E7" s="85">
        <f xml:space="preserve"> '4 - PPR AWARD'!L13</f>
        <v>182757.42009562574</v>
      </c>
      <c r="F7" s="88">
        <f t="shared" si="2"/>
        <v>301634.22751620971</v>
      </c>
      <c r="G7" s="84">
        <f>F7/'2 - NOTES '!C$19</f>
        <v>2.0058322231822565E-2</v>
      </c>
      <c r="H7" s="84">
        <f t="shared" si="0"/>
        <v>1.5810336438057241E-2</v>
      </c>
      <c r="I7" s="84">
        <f t="shared" si="1"/>
        <v>2.4306308025587895E-2</v>
      </c>
      <c r="J7" s="104">
        <f>F7/'6 - IP_MCO and FFS %'!F8</f>
        <v>0.13261036215157218</v>
      </c>
    </row>
    <row r="8" spans="1:10" ht="17.25">
      <c r="A8" s="97" t="s">
        <v>86</v>
      </c>
      <c r="B8" s="97" t="s">
        <v>85</v>
      </c>
      <c r="C8" s="98" t="s">
        <v>87</v>
      </c>
      <c r="D8" s="85">
        <f xml:space="preserve"> '3 - PPC AWARD'!L17</f>
        <v>315351.99727443862</v>
      </c>
      <c r="E8" s="85">
        <f xml:space="preserve"> '4 - PPR AWARD'!L14</f>
        <v>868790.27087902697</v>
      </c>
      <c r="F8" s="88">
        <f t="shared" si="2"/>
        <v>1184142.2681534656</v>
      </c>
      <c r="G8" s="84">
        <f>F8/'2 - NOTES '!C$19</f>
        <v>7.8744071515116879E-2</v>
      </c>
      <c r="H8" s="84">
        <f t="shared" si="0"/>
        <v>4.1941075652229126E-2</v>
      </c>
      <c r="I8" s="84">
        <f t="shared" si="1"/>
        <v>0.11554706737800467</v>
      </c>
      <c r="J8" s="104">
        <f>F8/'6 - IP_MCO and FFS %'!F9</f>
        <v>1.9130788704022243E-2</v>
      </c>
    </row>
    <row r="9" spans="1:10" ht="17.25">
      <c r="A9" s="97" t="s">
        <v>101</v>
      </c>
      <c r="B9" s="97" t="s">
        <v>122</v>
      </c>
      <c r="C9" s="92" t="s">
        <v>41</v>
      </c>
      <c r="D9" s="85">
        <f xml:space="preserve"> '3 - PPC AWARD'!L18</f>
        <v>1479156.105281966</v>
      </c>
      <c r="E9" s="86">
        <v>0</v>
      </c>
      <c r="F9" s="88">
        <f t="shared" si="2"/>
        <v>1479156.105281966</v>
      </c>
      <c r="G9" s="84">
        <f>F9/'2 - NOTES '!C$19</f>
        <v>9.8362145553653774E-2</v>
      </c>
      <c r="H9" s="84">
        <f t="shared" si="0"/>
        <v>0.19672429110730758</v>
      </c>
      <c r="I9" s="84">
        <f t="shared" si="1"/>
        <v>0</v>
      </c>
      <c r="J9" s="104">
        <f>F9/'6 - IP_MCO and FFS %'!F10</f>
        <v>5.0503619821193483E-3</v>
      </c>
    </row>
    <row r="10" spans="1:10" ht="17.25">
      <c r="A10" s="97" t="s">
        <v>102</v>
      </c>
      <c r="B10" s="97" t="s">
        <v>123</v>
      </c>
      <c r="C10" s="92" t="s">
        <v>31</v>
      </c>
      <c r="D10" s="85">
        <f xml:space="preserve"> '3 - PPC AWARD'!L19</f>
        <v>137088.13607087193</v>
      </c>
      <c r="E10" s="86">
        <v>0</v>
      </c>
      <c r="F10" s="88">
        <f t="shared" si="2"/>
        <v>137088.13607087193</v>
      </c>
      <c r="G10" s="84">
        <f>F10/'2 - NOTES '!C$19</f>
        <v>9.1162002074904325E-3</v>
      </c>
      <c r="H10" s="84">
        <f t="shared" si="0"/>
        <v>1.8232400414980868E-2</v>
      </c>
      <c r="I10" s="84">
        <f t="shared" si="1"/>
        <v>0</v>
      </c>
      <c r="J10" s="104">
        <f>F10/'6 - IP_MCO and FFS %'!F11</f>
        <v>1.9568151764202912E-2</v>
      </c>
    </row>
    <row r="11" spans="1:10" ht="17.25">
      <c r="A11" s="97" t="s">
        <v>103</v>
      </c>
      <c r="B11" s="97" t="s">
        <v>124</v>
      </c>
      <c r="C11" s="92" t="s">
        <v>29</v>
      </c>
      <c r="D11" s="85">
        <f>'3 - PPC AWARD'!L20</f>
        <v>225549.30798850721</v>
      </c>
      <c r="E11" s="86">
        <v>0</v>
      </c>
      <c r="F11" s="88">
        <f t="shared" si="2"/>
        <v>225549.30798850721</v>
      </c>
      <c r="G11" s="84">
        <f>F11/'2 - NOTES '!C$19</f>
        <v>1.4998764351286834E-2</v>
      </c>
      <c r="H11" s="84">
        <f t="shared" si="0"/>
        <v>2.9997528702573679E-2</v>
      </c>
      <c r="I11" s="84">
        <f t="shared" si="1"/>
        <v>0</v>
      </c>
      <c r="J11" s="104">
        <f>F11/'6 - IP_MCO and FFS %'!F12</f>
        <v>5.5108261654048052E-3</v>
      </c>
    </row>
    <row r="12" spans="1:10" ht="17.25">
      <c r="A12" s="97" t="s">
        <v>104</v>
      </c>
      <c r="B12" s="97" t="s">
        <v>125</v>
      </c>
      <c r="C12" s="92" t="s">
        <v>145</v>
      </c>
      <c r="D12" s="85">
        <f xml:space="preserve"> '3 - PPC AWARD'!L21</f>
        <v>914861.95830166887</v>
      </c>
      <c r="E12" s="86">
        <f xml:space="preserve"> '4 - PPR AWARD'!L15</f>
        <v>1094986.0119765729</v>
      </c>
      <c r="F12" s="88">
        <f t="shared" si="2"/>
        <v>2009847.9702782417</v>
      </c>
      <c r="G12" s="84">
        <f>F12/'2 - NOTES '!C$19</f>
        <v>0.13365253193173857</v>
      </c>
      <c r="H12" s="84">
        <f t="shared" si="0"/>
        <v>0.12167449369627618</v>
      </c>
      <c r="I12" s="84">
        <f t="shared" si="1"/>
        <v>0.14563057016720102</v>
      </c>
      <c r="J12" s="104">
        <f>F12/'6 - IP_MCO and FFS %'!F13</f>
        <v>1.1500787138409513E-2</v>
      </c>
    </row>
    <row r="13" spans="1:10" ht="17.25">
      <c r="A13" s="97">
        <v>112727604</v>
      </c>
      <c r="B13" s="97">
        <v>1891741468</v>
      </c>
      <c r="C13" s="92" t="s">
        <v>146</v>
      </c>
      <c r="D13" s="86">
        <v>0</v>
      </c>
      <c r="E13" s="85">
        <f xml:space="preserve"> '4 - PPR AWARD'!L16</f>
        <v>155848.44807046652</v>
      </c>
      <c r="F13" s="88">
        <f t="shared" ref="F13" si="3">D13+E13</f>
        <v>155848.44807046652</v>
      </c>
      <c r="G13" s="84">
        <f>F13/'2 - NOTES '!C$19</f>
        <v>1.0363738944576142E-2</v>
      </c>
      <c r="H13" s="84">
        <f t="shared" si="0"/>
        <v>0</v>
      </c>
      <c r="I13" s="84">
        <f t="shared" si="1"/>
        <v>2.0727477889152288E-2</v>
      </c>
      <c r="J13" s="104">
        <f>F13/'6 - IP_MCO and FFS %'!F14</f>
        <v>0.11263141488491223</v>
      </c>
    </row>
    <row r="14" spans="1:10" ht="17.25">
      <c r="A14" s="97" t="s">
        <v>105</v>
      </c>
      <c r="B14" s="97" t="s">
        <v>126</v>
      </c>
      <c r="C14" s="92" t="s">
        <v>33</v>
      </c>
      <c r="D14" s="85">
        <f xml:space="preserve"> '3 - PPC AWARD'!L22</f>
        <v>110747.94110020022</v>
      </c>
      <c r="E14" s="86">
        <v>0</v>
      </c>
      <c r="F14" s="88">
        <f t="shared" si="2"/>
        <v>110747.94110020022</v>
      </c>
      <c r="G14" s="84">
        <f>F14/'2 - NOTES '!C$19</f>
        <v>7.3646081460677195E-3</v>
      </c>
      <c r="H14" s="84">
        <f t="shared" si="0"/>
        <v>1.4729216292135442E-2</v>
      </c>
      <c r="I14" s="84">
        <f t="shared" si="1"/>
        <v>0</v>
      </c>
      <c r="J14" s="104">
        <f>F14/'6 - IP_MCO and FFS %'!F15</f>
        <v>3.7204487400866793E-2</v>
      </c>
    </row>
    <row r="15" spans="1:10" ht="17.25">
      <c r="A15" s="97" t="s">
        <v>106</v>
      </c>
      <c r="B15" s="97" t="s">
        <v>127</v>
      </c>
      <c r="C15" s="92" t="s">
        <v>42</v>
      </c>
      <c r="D15" s="85">
        <f xml:space="preserve"> '3 - PPC AWARD'!L23</f>
        <v>254197.57955086732</v>
      </c>
      <c r="E15" s="85">
        <f xml:space="preserve"> '4 - PPR AWARD'!L17</f>
        <v>476346.27617970109</v>
      </c>
      <c r="F15" s="88">
        <f t="shared" si="2"/>
        <v>730543.85573056841</v>
      </c>
      <c r="G15" s="84">
        <f>F15/'2 - NOTES '!C$19</f>
        <v>4.8580309281824996E-2</v>
      </c>
      <c r="H15" s="84">
        <f t="shared" si="0"/>
        <v>3.3807681596125502E-2</v>
      </c>
      <c r="I15" s="84">
        <f t="shared" si="1"/>
        <v>6.3352936967524517E-2</v>
      </c>
      <c r="J15" s="104">
        <f>F15/'6 - IP_MCO and FFS %'!F16</f>
        <v>6.6874940573036432E-2</v>
      </c>
    </row>
    <row r="16" spans="1:10" ht="17.25">
      <c r="A16" s="97" t="s">
        <v>107</v>
      </c>
      <c r="B16" s="97" t="s">
        <v>128</v>
      </c>
      <c r="C16" s="92" t="s">
        <v>35</v>
      </c>
      <c r="D16" s="85">
        <f xml:space="preserve"> '3 - PPC AWARD'!L24</f>
        <v>180218.41763358482</v>
      </c>
      <c r="E16" s="85">
        <f xml:space="preserve"> '4 - PPR AWARD'!L18</f>
        <v>647206.42198110453</v>
      </c>
      <c r="F16" s="88">
        <f t="shared" si="2"/>
        <v>827424.83961468935</v>
      </c>
      <c r="G16" s="84">
        <f>F16/'2 - NOTES '!C$19</f>
        <v>5.5022781042690649E-2</v>
      </c>
      <c r="H16" s="84">
        <f t="shared" si="0"/>
        <v>2.3968626656000813E-2</v>
      </c>
      <c r="I16" s="84">
        <f t="shared" si="1"/>
        <v>8.6076935429380524E-2</v>
      </c>
      <c r="J16" s="104">
        <f>F16/'6 - IP_MCO and FFS %'!F17</f>
        <v>5.0572712455832891E-2</v>
      </c>
    </row>
    <row r="17" spans="1:10" ht="17.25">
      <c r="A17" s="97" t="s">
        <v>108</v>
      </c>
      <c r="B17" s="97" t="s">
        <v>129</v>
      </c>
      <c r="C17" s="92" t="s">
        <v>43</v>
      </c>
      <c r="D17" s="85">
        <f xml:space="preserve"> '3 - PPC AWARD'!L25</f>
        <v>212525.76252025401</v>
      </c>
      <c r="E17" s="85">
        <f xml:space="preserve"> '4 - PPR AWARD'!L19</f>
        <v>222935.03563933275</v>
      </c>
      <c r="F17" s="88">
        <f t="shared" si="2"/>
        <v>435460.79815958673</v>
      </c>
      <c r="G17" s="84">
        <f>F17/'2 - NOTES '!C$19</f>
        <v>2.8957632165077293E-2</v>
      </c>
      <c r="H17" s="84">
        <f t="shared" si="0"/>
        <v>2.826542771553316E-2</v>
      </c>
      <c r="I17" s="84">
        <f t="shared" si="1"/>
        <v>2.9649836614621443E-2</v>
      </c>
      <c r="J17" s="104">
        <f>F17/'6 - IP_MCO and FFS %'!F18</f>
        <v>6.0924835113647567E-2</v>
      </c>
    </row>
    <row r="18" spans="1:10" ht="17.25">
      <c r="A18" s="97" t="s">
        <v>109</v>
      </c>
      <c r="B18" s="97" t="s">
        <v>130</v>
      </c>
      <c r="C18" s="92" t="s">
        <v>36</v>
      </c>
      <c r="D18" s="85">
        <f xml:space="preserve"> '3 - PPC AWARD'!L26</f>
        <v>236078.17818092561</v>
      </c>
      <c r="E18" s="86">
        <v>0</v>
      </c>
      <c r="F18" s="88">
        <f t="shared" si="2"/>
        <v>236078.17818092561</v>
      </c>
      <c r="G18" s="84">
        <f>F18/'2 - NOTES '!C$19</f>
        <v>1.5698921865888556E-2</v>
      </c>
      <c r="H18" s="84">
        <f t="shared" si="0"/>
        <v>3.139784373177712E-2</v>
      </c>
      <c r="I18" s="84">
        <f t="shared" si="1"/>
        <v>0</v>
      </c>
      <c r="J18" s="104">
        <f>F18/'6 - IP_MCO and FFS %'!F19</f>
        <v>8.8708857335474088E-3</v>
      </c>
    </row>
    <row r="19" spans="1:10" ht="17.25">
      <c r="A19" s="97" t="s">
        <v>110</v>
      </c>
      <c r="B19" s="97" t="s">
        <v>131</v>
      </c>
      <c r="C19" s="92" t="s">
        <v>28</v>
      </c>
      <c r="D19" s="85">
        <f xml:space="preserve"> '3 - PPC AWARD'!L27</f>
        <v>413267.16098584892</v>
      </c>
      <c r="E19" s="86">
        <v>0</v>
      </c>
      <c r="F19" s="88">
        <f t="shared" si="2"/>
        <v>413267.16098584892</v>
      </c>
      <c r="G19" s="84">
        <f>F19/'2 - NOTES '!C$19</f>
        <v>2.7481781332124106E-2</v>
      </c>
      <c r="H19" s="84">
        <f t="shared" si="0"/>
        <v>5.4963562664248226E-2</v>
      </c>
      <c r="I19" s="84">
        <f t="shared" si="1"/>
        <v>0</v>
      </c>
      <c r="J19" s="104">
        <f>F19/'6 - IP_MCO and FFS %'!F20</f>
        <v>3.2033067660060138E-3</v>
      </c>
    </row>
    <row r="20" spans="1:10" ht="17.25">
      <c r="A20" s="97" t="s">
        <v>111</v>
      </c>
      <c r="B20" s="97" t="s">
        <v>132</v>
      </c>
      <c r="C20" s="92" t="s">
        <v>34</v>
      </c>
      <c r="D20" s="85">
        <f xml:space="preserve"> '3 - PPC AWARD'!L28</f>
        <v>285955.08379385452</v>
      </c>
      <c r="E20" s="86">
        <v>0</v>
      </c>
      <c r="F20" s="88">
        <f t="shared" si="2"/>
        <v>285955.08379385452</v>
      </c>
      <c r="G20" s="84">
        <f>F20/'2 - NOTES '!C$19</f>
        <v>1.9015677570134899E-2</v>
      </c>
      <c r="H20" s="84">
        <f t="shared" si="0"/>
        <v>3.8031355140269806E-2</v>
      </c>
      <c r="I20" s="84">
        <f t="shared" si="1"/>
        <v>0</v>
      </c>
      <c r="J20" s="104">
        <f>F20/'6 - IP_MCO and FFS %'!F21</f>
        <v>6.6079222537473977E-3</v>
      </c>
    </row>
    <row r="21" spans="1:10" ht="17.25">
      <c r="A21" s="97" t="s">
        <v>112</v>
      </c>
      <c r="B21" s="97" t="s">
        <v>133</v>
      </c>
      <c r="C21" s="92" t="s">
        <v>37</v>
      </c>
      <c r="D21" s="85">
        <f>'3 - PPC AWARD'!L29</f>
        <v>271427.94162127021</v>
      </c>
      <c r="E21" s="85">
        <f xml:space="preserve"> '4 - PPR AWARD'!L20</f>
        <v>460161.08164281875</v>
      </c>
      <c r="F21" s="88">
        <f t="shared" si="2"/>
        <v>731589.0232640889</v>
      </c>
      <c r="G21" s="84">
        <f>F21/'2 - NOTES '!C$19</f>
        <v>4.8649811696541735E-2</v>
      </c>
      <c r="H21" s="84">
        <f t="shared" si="0"/>
        <v>3.6099279319799227E-2</v>
      </c>
      <c r="I21" s="84">
        <f t="shared" si="1"/>
        <v>6.1200344073284264E-2</v>
      </c>
      <c r="J21" s="104">
        <f>F21/'6 - IP_MCO and FFS %'!F22</f>
        <v>2.8814427419104217E-2</v>
      </c>
    </row>
    <row r="22" spans="1:10" ht="17.25">
      <c r="A22" s="97" t="s">
        <v>113</v>
      </c>
      <c r="B22" s="97" t="s">
        <v>134</v>
      </c>
      <c r="C22" s="92" t="s">
        <v>49</v>
      </c>
      <c r="D22" s="85">
        <f xml:space="preserve"> '3 - PPC AWARD'!L30</f>
        <v>218135.39946762181</v>
      </c>
      <c r="E22" s="85">
        <f xml:space="preserve"> '4 - PPR AWARD'!L21</f>
        <v>498092.13546195778</v>
      </c>
      <c r="F22" s="88">
        <f t="shared" si="2"/>
        <v>716227.53492957959</v>
      </c>
      <c r="G22" s="84">
        <f>F22/'2 - NOTES '!C$19</f>
        <v>4.7628290745450691E-2</v>
      </c>
      <c r="H22" s="84">
        <f t="shared" si="0"/>
        <v>2.9011496266309906E-2</v>
      </c>
      <c r="I22" s="84">
        <f t="shared" si="1"/>
        <v>6.6245085224591493E-2</v>
      </c>
      <c r="J22" s="104">
        <f>F22/'6 - IP_MCO and FFS %'!F23</f>
        <v>3.0992706085576607E-2</v>
      </c>
    </row>
    <row r="23" spans="1:10" ht="17.25">
      <c r="A23" s="97" t="s">
        <v>138</v>
      </c>
      <c r="B23" s="97" t="s">
        <v>141</v>
      </c>
      <c r="C23" s="92" t="s">
        <v>50</v>
      </c>
      <c r="D23" s="86">
        <v>0</v>
      </c>
      <c r="E23" s="86">
        <f xml:space="preserve"> '4 - PPR AWARD'!L22</f>
        <v>208609.80057840649</v>
      </c>
      <c r="F23" s="88">
        <f t="shared" si="2"/>
        <v>208609.80057840649</v>
      </c>
      <c r="G23" s="84">
        <f>F23/'2 - NOTES '!C$19</f>
        <v>1.387230698310939E-2</v>
      </c>
      <c r="H23" s="84">
        <f t="shared" si="0"/>
        <v>0</v>
      </c>
      <c r="I23" s="84">
        <f t="shared" si="1"/>
        <v>2.7744613966218787E-2</v>
      </c>
      <c r="J23" s="104">
        <f>F23/'6 - IP_MCO and FFS %'!F24</f>
        <v>4.0797080668808376E-2</v>
      </c>
    </row>
    <row r="24" spans="1:10" ht="17.25">
      <c r="A24" s="97">
        <v>136143806</v>
      </c>
      <c r="B24" s="97">
        <v>1255325817</v>
      </c>
      <c r="C24" s="92" t="s">
        <v>147</v>
      </c>
      <c r="D24" s="86">
        <v>0</v>
      </c>
      <c r="E24" s="86">
        <f xml:space="preserve"> '4 - PPR AWARD'!L23</f>
        <v>254732.00911426137</v>
      </c>
      <c r="F24" s="88">
        <f t="shared" si="2"/>
        <v>254732.00911426137</v>
      </c>
      <c r="G24" s="84">
        <f>F24/'2 - NOTES '!C$19</f>
        <v>1.6939379736998959E-2</v>
      </c>
      <c r="H24" s="84">
        <f t="shared" si="0"/>
        <v>0</v>
      </c>
      <c r="I24" s="84">
        <f t="shared" si="1"/>
        <v>3.3878759473997926E-2</v>
      </c>
      <c r="J24" s="104">
        <f>F24/'6 - IP_MCO and FFS %'!F25</f>
        <v>4.6658723783145825E-2</v>
      </c>
    </row>
    <row r="25" spans="1:10" ht="17.25">
      <c r="A25" s="97" t="s">
        <v>114</v>
      </c>
      <c r="B25" s="97" t="s">
        <v>135</v>
      </c>
      <c r="C25" s="92" t="s">
        <v>27</v>
      </c>
      <c r="D25" s="86">
        <f xml:space="preserve"> '3 - PPC AWARD'!L31</f>
        <v>137646.17461242859</v>
      </c>
      <c r="E25" s="86">
        <v>0</v>
      </c>
      <c r="F25" s="88">
        <f t="shared" ref="F25" si="4">D25+E25</f>
        <v>137646.17461242859</v>
      </c>
      <c r="G25" s="84">
        <f>F25/'2 - NOTES '!C$19</f>
        <v>9.1533091157747822E-3</v>
      </c>
      <c r="H25" s="84">
        <f t="shared" si="0"/>
        <v>1.8306618231549568E-2</v>
      </c>
      <c r="I25" s="84">
        <f t="shared" si="1"/>
        <v>0</v>
      </c>
      <c r="J25" s="104">
        <f>F25/'6 - IP_MCO and FFS %'!F26</f>
        <v>9.679164036798131E-3</v>
      </c>
    </row>
    <row r="26" spans="1:10" ht="17.25">
      <c r="A26" s="97" t="s">
        <v>92</v>
      </c>
      <c r="B26" s="97" t="s">
        <v>91</v>
      </c>
      <c r="C26" s="100" t="s">
        <v>82</v>
      </c>
      <c r="D26" s="86">
        <f xml:space="preserve"> '3 - PPC AWARD'!L32</f>
        <v>196225.42682532087</v>
      </c>
      <c r="E26" s="86">
        <f xml:space="preserve"> '4 - PPR AWARD'!L24</f>
        <v>512019.05674347142</v>
      </c>
      <c r="F26" s="88">
        <f t="shared" si="2"/>
        <v>708244.48356879223</v>
      </c>
      <c r="G26" s="84">
        <f>F26/'2 - NOTES '!C$19</f>
        <v>4.7097427196222813E-2</v>
      </c>
      <c r="H26" s="84">
        <f t="shared" si="0"/>
        <v>2.6097521317455193E-2</v>
      </c>
      <c r="I26" s="84">
        <f t="shared" si="1"/>
        <v>6.8097333074990468E-2</v>
      </c>
      <c r="J26" s="104">
        <f>F26/'6 - IP_MCO and FFS %'!F27</f>
        <v>3.3095793803705691E-2</v>
      </c>
    </row>
    <row r="27" spans="1:10" ht="17.25">
      <c r="A27" s="97" t="s">
        <v>115</v>
      </c>
      <c r="B27" s="97" t="s">
        <v>136</v>
      </c>
      <c r="C27" s="92" t="s">
        <v>30</v>
      </c>
      <c r="D27" s="86">
        <f xml:space="preserve"> '3 - PPC AWARD'!L33</f>
        <v>133507.96144081792</v>
      </c>
      <c r="E27" s="86">
        <v>0</v>
      </c>
      <c r="F27" s="88">
        <f t="shared" si="2"/>
        <v>133507.96144081792</v>
      </c>
      <c r="G27" s="84">
        <f>F27/'2 - NOTES '!C$19</f>
        <v>8.8781227950987616E-3</v>
      </c>
      <c r="H27" s="84">
        <f t="shared" si="0"/>
        <v>1.7756245590197527E-2</v>
      </c>
      <c r="I27" s="84">
        <f t="shared" si="1"/>
        <v>0</v>
      </c>
      <c r="J27" s="104">
        <f>F27/'6 - IP_MCO and FFS %'!F28</f>
        <v>1.7025687733873463E-2</v>
      </c>
    </row>
    <row r="28" spans="1:10" ht="17.25">
      <c r="A28" s="97">
        <v>139135109</v>
      </c>
      <c r="B28" s="97">
        <v>1477643690</v>
      </c>
      <c r="C28" s="92" t="s">
        <v>149</v>
      </c>
      <c r="D28" s="86">
        <f xml:space="preserve"> '3 - PPC AWARD'!L34</f>
        <v>434166.94420734153</v>
      </c>
      <c r="E28" s="86">
        <v>0</v>
      </c>
      <c r="F28" s="88">
        <f t="shared" ref="F28" si="5">D28+E28</f>
        <v>434166.94420734153</v>
      </c>
      <c r="G28" s="84">
        <f>F28/'2 - NOTES '!C$19</f>
        <v>2.8871592395291364E-2</v>
      </c>
      <c r="H28" s="84">
        <f t="shared" si="0"/>
        <v>5.7743184790582741E-2</v>
      </c>
      <c r="I28" s="84">
        <f t="shared" si="1"/>
        <v>0</v>
      </c>
      <c r="J28" s="104">
        <f>F28/'6 - IP_MCO and FFS %'!F29</f>
        <v>1.2302230982837693E-3</v>
      </c>
    </row>
    <row r="29" spans="1:10" ht="17.25">
      <c r="A29" s="97" t="s">
        <v>94</v>
      </c>
      <c r="B29" s="97" t="s">
        <v>93</v>
      </c>
      <c r="C29" s="98" t="s">
        <v>95</v>
      </c>
      <c r="D29" s="86">
        <v>0</v>
      </c>
      <c r="E29" s="86">
        <f xml:space="preserve"> '4 - PPR AWARD'!L25</f>
        <v>547652.23484365176</v>
      </c>
      <c r="F29" s="88">
        <f t="shared" si="2"/>
        <v>547652.23484365176</v>
      </c>
      <c r="G29" s="84">
        <f>F29/'2 - NOTES '!C$19</f>
        <v>3.6418231073863799E-2</v>
      </c>
      <c r="H29" s="84">
        <f t="shared" si="0"/>
        <v>0</v>
      </c>
      <c r="I29" s="84">
        <f t="shared" si="1"/>
        <v>7.2836462147727613E-2</v>
      </c>
      <c r="J29" s="104">
        <f>F29/'6 - IP_MCO and FFS %'!F30</f>
        <v>1.9836291130512274E-2</v>
      </c>
    </row>
    <row r="30" spans="1:10" ht="17.25">
      <c r="A30" s="97" t="s">
        <v>116</v>
      </c>
      <c r="B30" s="97" t="s">
        <v>137</v>
      </c>
      <c r="C30" s="92" t="s">
        <v>45</v>
      </c>
      <c r="D30" s="86">
        <f xml:space="preserve"> '3 - PPC AWARD'!L35</f>
        <v>191043.69835883193</v>
      </c>
      <c r="E30" s="86">
        <f xml:space="preserve"> '4 - PPR AWARD'!L26</f>
        <v>152253.47388122536</v>
      </c>
      <c r="F30" s="88">
        <f t="shared" si="2"/>
        <v>343297.17224005726</v>
      </c>
      <c r="G30" s="84">
        <f>F30/'2 - NOTES '!C$19</f>
        <v>2.282885917412841E-2</v>
      </c>
      <c r="H30" s="84">
        <f t="shared" si="0"/>
        <v>2.5408363590532061E-2</v>
      </c>
      <c r="I30" s="84">
        <f t="shared" si="1"/>
        <v>2.0249354757724776E-2</v>
      </c>
      <c r="J30" s="104">
        <f>F30/'6 - IP_MCO and FFS %'!F31</f>
        <v>6.6269962147505301E-2</v>
      </c>
    </row>
    <row r="31" spans="1:10" ht="17.25">
      <c r="A31" s="97" t="s">
        <v>89</v>
      </c>
      <c r="B31" s="97" t="s">
        <v>88</v>
      </c>
      <c r="C31" s="98" t="s">
        <v>90</v>
      </c>
      <c r="D31" s="86">
        <f xml:space="preserve"> '3 - PPC AWARD'!L36</f>
        <v>165835.45279372623</v>
      </c>
      <c r="E31" s="86">
        <f xml:space="preserve"> '4 - PPR AWARD'!L27</f>
        <v>511088.69559987681</v>
      </c>
      <c r="F31" s="88">
        <f t="shared" si="2"/>
        <v>676924.14839360304</v>
      </c>
      <c r="G31" s="84">
        <f>F31/'2 - NOTES '!C$19</f>
        <v>4.5014661654242435E-2</v>
      </c>
      <c r="H31" s="84">
        <f t="shared" si="0"/>
        <v>2.2055726082465244E-2</v>
      </c>
      <c r="I31" s="84">
        <f t="shared" si="1"/>
        <v>6.7973597226019658E-2</v>
      </c>
      <c r="J31" s="104">
        <f>F31/'6 - IP_MCO and FFS %'!F32</f>
        <v>6.507613146857337E-2</v>
      </c>
    </row>
    <row r="32" spans="1:10" ht="17.25">
      <c r="A32" s="97" t="s">
        <v>139</v>
      </c>
      <c r="B32" s="97" t="s">
        <v>142</v>
      </c>
      <c r="C32" s="92" t="s">
        <v>48</v>
      </c>
      <c r="D32" s="86">
        <v>0</v>
      </c>
      <c r="E32" s="86">
        <f xml:space="preserve"> '4 - PPR AWARD'!L28</f>
        <v>277104.18283054495</v>
      </c>
      <c r="F32" s="88">
        <f t="shared" si="2"/>
        <v>277104.18283054495</v>
      </c>
      <c r="G32" s="84">
        <f>F32/'2 - NOTES '!C$19</f>
        <v>1.8427103040560097E-2</v>
      </c>
      <c r="H32" s="84">
        <f t="shared" si="0"/>
        <v>0</v>
      </c>
      <c r="I32" s="84">
        <f t="shared" si="1"/>
        <v>3.6854206081120201E-2</v>
      </c>
      <c r="J32" s="104">
        <f>F32/'6 - IP_MCO and FFS %'!F33</f>
        <v>2.2177428880349702E-2</v>
      </c>
    </row>
    <row r="33" spans="1:10" ht="17.25">
      <c r="A33" s="97" t="s">
        <v>140</v>
      </c>
      <c r="B33" s="97" t="s">
        <v>143</v>
      </c>
      <c r="C33" s="92" t="s">
        <v>51</v>
      </c>
      <c r="D33" s="102">
        <v>0</v>
      </c>
      <c r="E33" s="86">
        <f xml:space="preserve"> '4 - PPR AWARD'!L29</f>
        <v>130691.88088144684</v>
      </c>
      <c r="F33" s="88">
        <f t="shared" si="2"/>
        <v>130691.88088144684</v>
      </c>
      <c r="G33" s="84">
        <f>F33/'2 - NOTES '!C$19</f>
        <v>8.6908567419198314E-3</v>
      </c>
      <c r="H33" s="103">
        <f t="shared" si="0"/>
        <v>0</v>
      </c>
      <c r="I33" s="84">
        <f t="shared" si="1"/>
        <v>1.7381713483839666E-2</v>
      </c>
      <c r="J33" s="104">
        <f>F33/'6 - IP_MCO and FFS %'!F34</f>
        <v>0.10270751783726403</v>
      </c>
    </row>
    <row r="34" spans="1:10">
      <c r="D34" s="87">
        <f t="shared" ref="D34:I34" si="6">SUM(D2:D33)</f>
        <v>7518929.6499999985</v>
      </c>
      <c r="E34" s="87">
        <f t="shared" si="6"/>
        <v>7518929.6499999985</v>
      </c>
      <c r="F34" s="87">
        <f t="shared" si="6"/>
        <v>15037859.300000003</v>
      </c>
      <c r="G34" s="101">
        <f t="shared" si="6"/>
        <v>0.99999999999999967</v>
      </c>
      <c r="H34" s="101">
        <f t="shared" si="6"/>
        <v>1.0000000000000002</v>
      </c>
      <c r="I34" s="101">
        <f t="shared" si="6"/>
        <v>1.0000000000000002</v>
      </c>
    </row>
  </sheetData>
  <autoFilter ref="C1:J1">
    <sortState ref="C2:J30">
      <sortCondition ref="C1"/>
    </sortState>
  </autoFilter>
  <sortState ref="C2:F37">
    <sortCondition ref="C2:C37"/>
  </sortState>
  <pageMargins left="0.5" right="0.5" top="0.5" bottom="0.5" header="0.3" footer="0.3"/>
  <pageSetup paperSize="5"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85" zoomScaleNormal="85" workbookViewId="0">
      <selection activeCell="C20" sqref="C20"/>
    </sheetView>
  </sheetViews>
  <sheetFormatPr defaultColWidth="9.140625" defaultRowHeight="17.25"/>
  <cols>
    <col min="1" max="1" width="12" style="22" customWidth="1"/>
    <col min="2" max="2" width="13.140625" style="22" customWidth="1"/>
    <col min="3" max="3" width="101.28515625" style="22" bestFit="1" customWidth="1"/>
    <col min="4" max="4" width="15.5703125" style="22" bestFit="1" customWidth="1"/>
    <col min="5" max="5" width="15.85546875" style="22" bestFit="1" customWidth="1"/>
    <col min="6" max="6" width="16.42578125" style="22" bestFit="1" customWidth="1"/>
    <col min="7" max="7" width="12.28515625" style="22" customWidth="1"/>
    <col min="8" max="8" width="12" style="22" customWidth="1"/>
    <col min="9" max="9" width="6.42578125" style="22" bestFit="1" customWidth="1"/>
    <col min="10" max="16384" width="9.140625" style="22"/>
  </cols>
  <sheetData>
    <row r="1" spans="1:9" ht="21.95" customHeight="1">
      <c r="A1" s="21"/>
      <c r="B1" s="21"/>
      <c r="C1" s="21"/>
      <c r="D1" s="259" t="s">
        <v>56</v>
      </c>
      <c r="E1" s="259"/>
      <c r="F1" s="259"/>
      <c r="G1" s="259"/>
      <c r="H1" s="259"/>
    </row>
    <row r="2" spans="1:9" ht="51.75">
      <c r="A2" s="26" t="s">
        <v>46</v>
      </c>
      <c r="B2" s="26" t="s">
        <v>47</v>
      </c>
      <c r="C2" s="27" t="s">
        <v>23</v>
      </c>
      <c r="D2" s="26" t="s">
        <v>54</v>
      </c>
      <c r="E2" s="26" t="s">
        <v>55</v>
      </c>
      <c r="F2" s="26" t="s">
        <v>26</v>
      </c>
      <c r="G2" s="27" t="s">
        <v>58</v>
      </c>
      <c r="H2" s="27" t="s">
        <v>57</v>
      </c>
    </row>
    <row r="3" spans="1:9" ht="14.45" customHeight="1">
      <c r="A3" s="199">
        <v>112705203</v>
      </c>
      <c r="B3" s="201">
        <v>1851344162</v>
      </c>
      <c r="C3" s="203" t="s">
        <v>148</v>
      </c>
      <c r="D3" s="204">
        <v>515349.02</v>
      </c>
      <c r="E3" s="204">
        <v>2852494.24</v>
      </c>
      <c r="F3" s="205">
        <v>3367843.26</v>
      </c>
      <c r="G3" s="119">
        <f>D3/F3</f>
        <v>0.15302048825158213</v>
      </c>
      <c r="H3" s="119">
        <f>E3/F3</f>
        <v>0.84697951174841801</v>
      </c>
      <c r="I3" s="23"/>
    </row>
    <row r="4" spans="1:9" ht="14.45" customHeight="1">
      <c r="A4" s="97" t="s">
        <v>96</v>
      </c>
      <c r="B4" s="97" t="s">
        <v>117</v>
      </c>
      <c r="C4" s="92" t="s">
        <v>70</v>
      </c>
      <c r="D4" s="116">
        <v>527584.31000000006</v>
      </c>
      <c r="E4" s="116">
        <v>1713050</v>
      </c>
      <c r="F4" s="117">
        <f>SUM(D4:E4)</f>
        <v>2240634.31</v>
      </c>
      <c r="G4" s="119">
        <f>D4/F4</f>
        <v>0.23546203307044783</v>
      </c>
      <c r="H4" s="119">
        <f>E4/F4</f>
        <v>0.76453796692955223</v>
      </c>
      <c r="I4" s="23"/>
    </row>
    <row r="5" spans="1:9">
      <c r="A5" s="97" t="s">
        <v>97</v>
      </c>
      <c r="B5" s="97" t="s">
        <v>118</v>
      </c>
      <c r="C5" s="92" t="s">
        <v>44</v>
      </c>
      <c r="D5" s="116">
        <v>2317892.0299999998</v>
      </c>
      <c r="E5" s="116">
        <v>7098697.1699999999</v>
      </c>
      <c r="F5" s="117">
        <f t="shared" ref="F5:F34" si="0">SUM(D5:E5)</f>
        <v>9416589.1999999993</v>
      </c>
      <c r="G5" s="119">
        <f t="shared" ref="G5:G34" si="1">D5/F5</f>
        <v>0.24614985115842156</v>
      </c>
      <c r="H5" s="119">
        <f t="shared" ref="H5:H34" si="2">E5/F5</f>
        <v>0.75385014884157853</v>
      </c>
      <c r="I5" s="23"/>
    </row>
    <row r="6" spans="1:9">
      <c r="A6" s="97" t="s">
        <v>98</v>
      </c>
      <c r="B6" s="97" t="s">
        <v>119</v>
      </c>
      <c r="C6" s="92" t="s">
        <v>39</v>
      </c>
      <c r="D6" s="116">
        <v>3708894.96</v>
      </c>
      <c r="E6" s="116">
        <v>16944245.539999999</v>
      </c>
      <c r="F6" s="117">
        <f t="shared" si="0"/>
        <v>20653140.5</v>
      </c>
      <c r="G6" s="119">
        <f t="shared" si="1"/>
        <v>0.17958019314302345</v>
      </c>
      <c r="H6" s="119">
        <f t="shared" si="2"/>
        <v>0.82041980685697646</v>
      </c>
      <c r="I6" s="23"/>
    </row>
    <row r="7" spans="1:9">
      <c r="A7" s="97" t="s">
        <v>99</v>
      </c>
      <c r="B7" s="97" t="s">
        <v>120</v>
      </c>
      <c r="C7" s="92" t="s">
        <v>32</v>
      </c>
      <c r="D7" s="116">
        <v>3086093.11</v>
      </c>
      <c r="E7" s="116">
        <v>10873126.07</v>
      </c>
      <c r="F7" s="117">
        <f t="shared" si="0"/>
        <v>13959219.18</v>
      </c>
      <c r="G7" s="119">
        <f t="shared" si="1"/>
        <v>0.22107920723972757</v>
      </c>
      <c r="H7" s="119">
        <f t="shared" si="2"/>
        <v>0.77892079276027248</v>
      </c>
      <c r="I7" s="23"/>
    </row>
    <row r="8" spans="1:9">
      <c r="A8" s="97" t="s">
        <v>100</v>
      </c>
      <c r="B8" s="97" t="s">
        <v>121</v>
      </c>
      <c r="C8" s="92" t="s">
        <v>40</v>
      </c>
      <c r="D8" s="116">
        <v>562741.26</v>
      </c>
      <c r="E8" s="116">
        <v>1711848.92</v>
      </c>
      <c r="F8" s="117">
        <f t="shared" si="0"/>
        <v>2274590.1799999997</v>
      </c>
      <c r="G8" s="119">
        <f t="shared" si="1"/>
        <v>0.24740336300933125</v>
      </c>
      <c r="H8" s="119">
        <f t="shared" si="2"/>
        <v>0.75259663699066881</v>
      </c>
      <c r="I8" s="23"/>
    </row>
    <row r="9" spans="1:9">
      <c r="A9" s="97" t="s">
        <v>86</v>
      </c>
      <c r="B9" s="97" t="s">
        <v>85</v>
      </c>
      <c r="C9" s="98" t="s">
        <v>87</v>
      </c>
      <c r="D9" s="116">
        <v>30656846.539999999</v>
      </c>
      <c r="E9" s="116">
        <v>31240354.170000002</v>
      </c>
      <c r="F9" s="116">
        <v>61897200.710000001</v>
      </c>
      <c r="G9" s="119">
        <f t="shared" si="1"/>
        <v>0.49528647803691606</v>
      </c>
      <c r="H9" s="119">
        <f t="shared" si="2"/>
        <v>0.50471352196308394</v>
      </c>
      <c r="I9" s="23"/>
    </row>
    <row r="10" spans="1:9">
      <c r="A10" s="97" t="s">
        <v>101</v>
      </c>
      <c r="B10" s="97" t="s">
        <v>122</v>
      </c>
      <c r="C10" s="92" t="s">
        <v>41</v>
      </c>
      <c r="D10" s="116">
        <v>147434884.81</v>
      </c>
      <c r="E10" s="116">
        <v>145446320.63999999</v>
      </c>
      <c r="F10" s="117">
        <f t="shared" si="0"/>
        <v>292881205.44999999</v>
      </c>
      <c r="G10" s="119">
        <f t="shared" si="1"/>
        <v>0.50339483062244417</v>
      </c>
      <c r="H10" s="119">
        <f t="shared" si="2"/>
        <v>0.49660516937755589</v>
      </c>
      <c r="I10" s="23"/>
    </row>
    <row r="11" spans="1:9">
      <c r="A11" s="97" t="s">
        <v>102</v>
      </c>
      <c r="B11" s="97" t="s">
        <v>123</v>
      </c>
      <c r="C11" s="92" t="s">
        <v>31</v>
      </c>
      <c r="D11" s="116">
        <v>2073695.79</v>
      </c>
      <c r="E11" s="116">
        <v>4931980.46</v>
      </c>
      <c r="F11" s="117">
        <f t="shared" si="0"/>
        <v>7005676.25</v>
      </c>
      <c r="G11" s="119">
        <f t="shared" si="1"/>
        <v>0.29600222962058803</v>
      </c>
      <c r="H11" s="119">
        <f t="shared" si="2"/>
        <v>0.70399777037941202</v>
      </c>
      <c r="I11" s="23"/>
    </row>
    <row r="12" spans="1:9">
      <c r="A12" s="97" t="s">
        <v>103</v>
      </c>
      <c r="B12" s="97" t="s">
        <v>124</v>
      </c>
      <c r="C12" s="92" t="s">
        <v>29</v>
      </c>
      <c r="D12" s="116">
        <v>13402544.800000001</v>
      </c>
      <c r="E12" s="116">
        <v>27525857.079999998</v>
      </c>
      <c r="F12" s="117">
        <f t="shared" si="0"/>
        <v>40928401.879999995</v>
      </c>
      <c r="G12" s="119">
        <f t="shared" si="1"/>
        <v>0.32746318410612718</v>
      </c>
      <c r="H12" s="119">
        <f t="shared" si="2"/>
        <v>0.67253681589387293</v>
      </c>
      <c r="I12" s="23"/>
    </row>
    <row r="13" spans="1:9">
      <c r="A13" s="97" t="s">
        <v>104</v>
      </c>
      <c r="B13" s="97" t="s">
        <v>125</v>
      </c>
      <c r="C13" s="92" t="s">
        <v>38</v>
      </c>
      <c r="D13" s="116">
        <v>68468698.609999999</v>
      </c>
      <c r="E13" s="116">
        <v>106288728.52</v>
      </c>
      <c r="F13" s="117">
        <f t="shared" si="0"/>
        <v>174757427.13</v>
      </c>
      <c r="G13" s="119">
        <f t="shared" si="1"/>
        <v>0.39179278234090126</v>
      </c>
      <c r="H13" s="119">
        <f t="shared" si="2"/>
        <v>0.6082072176590988</v>
      </c>
      <c r="I13" s="23"/>
    </row>
    <row r="14" spans="1:9">
      <c r="A14" s="97">
        <v>112727604</v>
      </c>
      <c r="B14" s="97">
        <v>1891741468</v>
      </c>
      <c r="C14" s="92" t="s">
        <v>146</v>
      </c>
      <c r="D14" s="116">
        <v>335859.59</v>
      </c>
      <c r="E14" s="116">
        <v>1047843.6</v>
      </c>
      <c r="F14" s="117">
        <v>1383703.19</v>
      </c>
      <c r="G14" s="119">
        <f t="shared" ref="G14" si="3">D14/F14</f>
        <v>0.24272516853849274</v>
      </c>
      <c r="H14" s="119">
        <f t="shared" ref="H14" si="4">E14/F14</f>
        <v>0.75727483146150731</v>
      </c>
      <c r="I14" s="23"/>
    </row>
    <row r="15" spans="1:9">
      <c r="A15" s="97" t="s">
        <v>105</v>
      </c>
      <c r="B15" s="97" t="s">
        <v>126</v>
      </c>
      <c r="C15" s="92" t="s">
        <v>33</v>
      </c>
      <c r="D15" s="116">
        <v>786222.07</v>
      </c>
      <c r="E15" s="116">
        <v>2190514.04</v>
      </c>
      <c r="F15" s="117">
        <f t="shared" si="0"/>
        <v>2976736.11</v>
      </c>
      <c r="G15" s="119">
        <f t="shared" si="1"/>
        <v>0.26412219321651592</v>
      </c>
      <c r="H15" s="119">
        <f t="shared" si="2"/>
        <v>0.73587780678348413</v>
      </c>
      <c r="I15" s="23"/>
    </row>
    <row r="16" spans="1:9">
      <c r="A16" s="97" t="s">
        <v>106</v>
      </c>
      <c r="B16" s="97" t="s">
        <v>127</v>
      </c>
      <c r="C16" s="92" t="s">
        <v>42</v>
      </c>
      <c r="D16" s="116">
        <v>4394108.8899999997</v>
      </c>
      <c r="E16" s="116">
        <v>6529921.0899999999</v>
      </c>
      <c r="F16" s="117">
        <f t="shared" si="0"/>
        <v>10924029.98</v>
      </c>
      <c r="G16" s="119">
        <f t="shared" si="1"/>
        <v>0.40224247810055896</v>
      </c>
      <c r="H16" s="119">
        <f t="shared" si="2"/>
        <v>0.59775752189944098</v>
      </c>
      <c r="I16" s="23"/>
    </row>
    <row r="17" spans="1:9">
      <c r="A17" s="97" t="s">
        <v>107</v>
      </c>
      <c r="B17" s="97" t="s">
        <v>128</v>
      </c>
      <c r="C17" s="92" t="s">
        <v>35</v>
      </c>
      <c r="D17" s="116">
        <v>7541160.0800000001</v>
      </c>
      <c r="E17" s="116">
        <v>8819932.6799999997</v>
      </c>
      <c r="F17" s="117">
        <f t="shared" si="0"/>
        <v>16361092.76</v>
      </c>
      <c r="G17" s="119">
        <f t="shared" si="1"/>
        <v>0.46092031813650081</v>
      </c>
      <c r="H17" s="119">
        <f t="shared" si="2"/>
        <v>0.53907968186349919</v>
      </c>
      <c r="I17" s="23"/>
    </row>
    <row r="18" spans="1:9">
      <c r="A18" s="97" t="s">
        <v>108</v>
      </c>
      <c r="B18" s="97" t="s">
        <v>129</v>
      </c>
      <c r="C18" s="92" t="s">
        <v>43</v>
      </c>
      <c r="D18" s="116">
        <v>2218583.58</v>
      </c>
      <c r="E18" s="116">
        <v>4928925.2699999996</v>
      </c>
      <c r="F18" s="117">
        <f t="shared" si="0"/>
        <v>7147508.8499999996</v>
      </c>
      <c r="G18" s="119">
        <f t="shared" si="1"/>
        <v>0.31039955690296211</v>
      </c>
      <c r="H18" s="119">
        <f t="shared" si="2"/>
        <v>0.68960044309703794</v>
      </c>
      <c r="I18" s="23"/>
    </row>
    <row r="19" spans="1:9">
      <c r="A19" s="97" t="s">
        <v>109</v>
      </c>
      <c r="B19" s="97" t="s">
        <v>130</v>
      </c>
      <c r="C19" s="92" t="s">
        <v>36</v>
      </c>
      <c r="D19" s="116">
        <v>5939126.1399999997</v>
      </c>
      <c r="E19" s="116">
        <v>20673569.059999999</v>
      </c>
      <c r="F19" s="117">
        <f t="shared" si="0"/>
        <v>26612695.199999999</v>
      </c>
      <c r="G19" s="119">
        <f t="shared" si="1"/>
        <v>0.22316890849897833</v>
      </c>
      <c r="H19" s="119">
        <f t="shared" si="2"/>
        <v>0.77683109150102159</v>
      </c>
      <c r="I19" s="23"/>
    </row>
    <row r="20" spans="1:9">
      <c r="A20" s="97" t="s">
        <v>110</v>
      </c>
      <c r="B20" s="97" t="s">
        <v>131</v>
      </c>
      <c r="C20" s="92" t="s">
        <v>28</v>
      </c>
      <c r="D20" s="116">
        <v>40962726.100000001</v>
      </c>
      <c r="E20" s="116">
        <v>88049944.609999999</v>
      </c>
      <c r="F20" s="117">
        <f t="shared" si="0"/>
        <v>129012670.71000001</v>
      </c>
      <c r="G20" s="119">
        <f t="shared" si="1"/>
        <v>0.31750932582488511</v>
      </c>
      <c r="H20" s="119">
        <f t="shared" si="2"/>
        <v>0.68249067417511489</v>
      </c>
      <c r="I20" s="23"/>
    </row>
    <row r="21" spans="1:9">
      <c r="A21" s="97" t="s">
        <v>111</v>
      </c>
      <c r="B21" s="97" t="s">
        <v>132</v>
      </c>
      <c r="C21" s="92" t="s">
        <v>34</v>
      </c>
      <c r="D21" s="116">
        <v>17465356.420000002</v>
      </c>
      <c r="E21" s="116">
        <v>25809227.149999999</v>
      </c>
      <c r="F21" s="117">
        <f t="shared" si="0"/>
        <v>43274583.57</v>
      </c>
      <c r="G21" s="119">
        <f t="shared" si="1"/>
        <v>0.40359386455443136</v>
      </c>
      <c r="H21" s="119">
        <f t="shared" si="2"/>
        <v>0.59640613544556864</v>
      </c>
      <c r="I21" s="23"/>
    </row>
    <row r="22" spans="1:9">
      <c r="A22" s="97" t="s">
        <v>112</v>
      </c>
      <c r="B22" s="97" t="s">
        <v>133</v>
      </c>
      <c r="C22" s="92" t="s">
        <v>37</v>
      </c>
      <c r="D22" s="116">
        <v>9690062.8699999992</v>
      </c>
      <c r="E22" s="116">
        <v>15699614.76</v>
      </c>
      <c r="F22" s="117">
        <f t="shared" si="0"/>
        <v>25389677.629999999</v>
      </c>
      <c r="G22" s="119">
        <f t="shared" si="1"/>
        <v>0.38165363937312818</v>
      </c>
      <c r="H22" s="119">
        <f t="shared" si="2"/>
        <v>0.61834636062687187</v>
      </c>
      <c r="I22" s="23"/>
    </row>
    <row r="23" spans="1:9">
      <c r="A23" s="97" t="s">
        <v>113</v>
      </c>
      <c r="B23" s="97" t="s">
        <v>134</v>
      </c>
      <c r="C23" s="92" t="s">
        <v>49</v>
      </c>
      <c r="D23" s="116">
        <v>6842171.21</v>
      </c>
      <c r="E23" s="116">
        <v>16267380.210000001</v>
      </c>
      <c r="F23" s="117">
        <f t="shared" si="0"/>
        <v>23109551.420000002</v>
      </c>
      <c r="G23" s="119">
        <f t="shared" si="1"/>
        <v>0.2960754661848819</v>
      </c>
      <c r="H23" s="119">
        <f t="shared" si="2"/>
        <v>0.7039245338151181</v>
      </c>
      <c r="I23" s="23"/>
    </row>
    <row r="24" spans="1:9">
      <c r="A24" s="97" t="s">
        <v>138</v>
      </c>
      <c r="B24" s="97" t="s">
        <v>141</v>
      </c>
      <c r="C24" s="92" t="s">
        <v>50</v>
      </c>
      <c r="D24" s="116">
        <v>991251.54</v>
      </c>
      <c r="E24" s="116">
        <v>4122099.64</v>
      </c>
      <c r="F24" s="117">
        <f t="shared" si="0"/>
        <v>5113351.18</v>
      </c>
      <c r="G24" s="119">
        <f t="shared" si="1"/>
        <v>0.19385555677793287</v>
      </c>
      <c r="H24" s="119">
        <f t="shared" si="2"/>
        <v>0.80614444322206724</v>
      </c>
      <c r="I24" s="23"/>
    </row>
    <row r="25" spans="1:9">
      <c r="A25" s="97">
        <v>136143806</v>
      </c>
      <c r="B25" s="97">
        <v>1255325817</v>
      </c>
      <c r="C25" s="92" t="s">
        <v>147</v>
      </c>
      <c r="D25" s="120">
        <v>2015392.1</v>
      </c>
      <c r="E25" s="120">
        <v>3444080.18</v>
      </c>
      <c r="F25" s="120">
        <v>5459472.2800000003</v>
      </c>
      <c r="G25" s="119">
        <f t="shared" ref="G25" si="5">D25/F25</f>
        <v>0.36915511181970873</v>
      </c>
      <c r="H25" s="119">
        <f t="shared" ref="H25" si="6">E25/F25</f>
        <v>0.63084488818029127</v>
      </c>
      <c r="I25" s="23"/>
    </row>
    <row r="26" spans="1:9">
      <c r="A26" s="97" t="s">
        <v>114</v>
      </c>
      <c r="B26" s="97" t="s">
        <v>135</v>
      </c>
      <c r="C26" s="92" t="s">
        <v>27</v>
      </c>
      <c r="D26" s="116">
        <v>5353968.2300000004</v>
      </c>
      <c r="E26" s="116">
        <v>8866906.0199999996</v>
      </c>
      <c r="F26" s="117">
        <f t="shared" si="0"/>
        <v>14220874.25</v>
      </c>
      <c r="G26" s="119">
        <f t="shared" si="1"/>
        <v>0.37648657430467053</v>
      </c>
      <c r="H26" s="119">
        <f t="shared" si="2"/>
        <v>0.62351342569532953</v>
      </c>
      <c r="I26" s="23"/>
    </row>
    <row r="27" spans="1:9">
      <c r="A27" s="97" t="s">
        <v>92</v>
      </c>
      <c r="B27" s="97" t="s">
        <v>91</v>
      </c>
      <c r="C27" s="100" t="s">
        <v>82</v>
      </c>
      <c r="D27" s="116">
        <v>6575581.4000000004</v>
      </c>
      <c r="E27" s="116">
        <v>14824252.300000001</v>
      </c>
      <c r="F27" s="116">
        <v>21399833.699999999</v>
      </c>
      <c r="G27" s="119">
        <f t="shared" si="1"/>
        <v>0.30727254670208026</v>
      </c>
      <c r="H27" s="119">
        <f t="shared" si="2"/>
        <v>0.69272745329791985</v>
      </c>
      <c r="I27" s="23"/>
    </row>
    <row r="28" spans="1:9">
      <c r="A28" s="97" t="s">
        <v>115</v>
      </c>
      <c r="B28" s="97" t="s">
        <v>136</v>
      </c>
      <c r="C28" s="92" t="s">
        <v>30</v>
      </c>
      <c r="D28" s="116">
        <v>3398894.09</v>
      </c>
      <c r="E28" s="116">
        <v>4442666.47</v>
      </c>
      <c r="F28" s="117">
        <f t="shared" si="0"/>
        <v>7841560.5599999996</v>
      </c>
      <c r="G28" s="119">
        <f t="shared" si="1"/>
        <v>0.43344613154399969</v>
      </c>
      <c r="H28" s="119">
        <f t="shared" si="2"/>
        <v>0.56655386845600031</v>
      </c>
      <c r="I28" s="23"/>
    </row>
    <row r="29" spans="1:9">
      <c r="A29" s="97">
        <v>139135109</v>
      </c>
      <c r="B29" s="97">
        <v>1477643690</v>
      </c>
      <c r="C29" s="92" t="s">
        <v>149</v>
      </c>
      <c r="D29" s="116">
        <v>147881317.88999999</v>
      </c>
      <c r="E29" s="116">
        <v>205035925.18000001</v>
      </c>
      <c r="F29" s="117">
        <v>352917243.06999999</v>
      </c>
      <c r="G29" s="119">
        <f t="shared" ref="G29" si="7">D29/F29</f>
        <v>0.41902548201836715</v>
      </c>
      <c r="H29" s="119">
        <f t="shared" ref="H29" si="8">E29/F29</f>
        <v>0.58097451798163291</v>
      </c>
      <c r="I29" s="23"/>
    </row>
    <row r="30" spans="1:9">
      <c r="A30" s="97" t="s">
        <v>94</v>
      </c>
      <c r="B30" s="97" t="s">
        <v>93</v>
      </c>
      <c r="C30" s="98" t="s">
        <v>95</v>
      </c>
      <c r="D30" s="116">
        <v>7649298.7599999998</v>
      </c>
      <c r="E30" s="116">
        <v>19959301.620000001</v>
      </c>
      <c r="F30" s="116">
        <v>27608600.379999999</v>
      </c>
      <c r="G30" s="119">
        <f t="shared" si="1"/>
        <v>0.27706217101614622</v>
      </c>
      <c r="H30" s="119">
        <f t="shared" si="2"/>
        <v>0.72293782898385384</v>
      </c>
      <c r="I30" s="23"/>
    </row>
    <row r="31" spans="1:9">
      <c r="A31" s="97" t="s">
        <v>116</v>
      </c>
      <c r="B31" s="97" t="s">
        <v>137</v>
      </c>
      <c r="C31" s="92" t="s">
        <v>45</v>
      </c>
      <c r="D31" s="116">
        <v>907575.91</v>
      </c>
      <c r="E31" s="116">
        <v>4272707.3</v>
      </c>
      <c r="F31" s="117">
        <f t="shared" si="0"/>
        <v>5180283.21</v>
      </c>
      <c r="G31" s="119">
        <f t="shared" si="1"/>
        <v>0.17519812589551451</v>
      </c>
      <c r="H31" s="119">
        <f t="shared" si="2"/>
        <v>0.82480187410448547</v>
      </c>
      <c r="I31" s="23"/>
    </row>
    <row r="32" spans="1:9">
      <c r="A32" s="97" t="s">
        <v>89</v>
      </c>
      <c r="B32" s="97" t="s">
        <v>88</v>
      </c>
      <c r="C32" s="98" t="s">
        <v>90</v>
      </c>
      <c r="D32" s="116">
        <v>2848184.24</v>
      </c>
      <c r="E32" s="116">
        <v>7553850.0099999998</v>
      </c>
      <c r="F32" s="116">
        <v>10402034.25</v>
      </c>
      <c r="G32" s="119">
        <f t="shared" ref="G32" si="9">D32/F32</f>
        <v>0.27381031167052733</v>
      </c>
      <c r="H32" s="119">
        <f t="shared" ref="H32" si="10">E32/F32</f>
        <v>0.72618968832947262</v>
      </c>
      <c r="I32" s="23"/>
    </row>
    <row r="33" spans="1:9">
      <c r="A33" s="97" t="s">
        <v>139</v>
      </c>
      <c r="B33" s="97" t="s">
        <v>142</v>
      </c>
      <c r="C33" s="92" t="s">
        <v>48</v>
      </c>
      <c r="D33" s="116">
        <v>5818653.7000000002</v>
      </c>
      <c r="E33" s="116">
        <v>6676220.4500000002</v>
      </c>
      <c r="F33" s="117">
        <f t="shared" si="0"/>
        <v>12494874.15</v>
      </c>
      <c r="G33" s="119">
        <f t="shared" si="1"/>
        <v>0.46568325780216041</v>
      </c>
      <c r="H33" s="119">
        <f t="shared" si="2"/>
        <v>0.53431674219783953</v>
      </c>
      <c r="I33" s="23"/>
    </row>
    <row r="34" spans="1:9">
      <c r="A34" s="97" t="s">
        <v>140</v>
      </c>
      <c r="B34" s="97" t="s">
        <v>143</v>
      </c>
      <c r="C34" s="92" t="s">
        <v>51</v>
      </c>
      <c r="D34" s="116">
        <v>207261.73</v>
      </c>
      <c r="E34" s="116">
        <v>1065204.82</v>
      </c>
      <c r="F34" s="117">
        <f t="shared" si="0"/>
        <v>1272466.55</v>
      </c>
      <c r="G34" s="119">
        <f t="shared" si="1"/>
        <v>0.16288186907545821</v>
      </c>
      <c r="H34" s="119">
        <f t="shared" si="2"/>
        <v>0.83711813092454179</v>
      </c>
      <c r="I34" s="23"/>
    </row>
    <row r="35" spans="1:9" ht="24" customHeight="1">
      <c r="A35" s="89"/>
      <c r="B35" s="89"/>
      <c r="C35" s="90" t="s">
        <v>60</v>
      </c>
      <c r="D35" s="118">
        <f>SUM(D3:D34)</f>
        <v>552577981.77999997</v>
      </c>
      <c r="E35" s="118">
        <f>SUM(E3:E34)</f>
        <v>826906789.26999998</v>
      </c>
      <c r="F35" s="118">
        <f>SUM(F3:F34)</f>
        <v>1379484771.0500002</v>
      </c>
      <c r="G35" s="91">
        <f xml:space="preserve"> AVERAGE(G3:G34)</f>
        <v>0.31415383432991911</v>
      </c>
      <c r="H35" s="91">
        <f xml:space="preserve"> AVERAGE(H3:H34)</f>
        <v>0.68584616567008083</v>
      </c>
    </row>
    <row r="36" spans="1:9">
      <c r="A36" s="89"/>
      <c r="B36" s="111"/>
      <c r="C36" s="110"/>
      <c r="D36" s="109"/>
      <c r="E36" s="109"/>
      <c r="F36" s="109"/>
      <c r="G36" s="24"/>
      <c r="H36" s="24"/>
    </row>
    <row r="37" spans="1:9">
      <c r="A37" s="89"/>
      <c r="B37" s="111"/>
      <c r="C37" s="110"/>
      <c r="D37" s="109"/>
      <c r="E37" s="109"/>
      <c r="F37" s="109"/>
    </row>
    <row r="38" spans="1:9">
      <c r="A38" s="24"/>
      <c r="B38" s="24"/>
      <c r="C38" s="24"/>
      <c r="D38" s="24"/>
      <c r="E38" s="24"/>
      <c r="F38" s="24"/>
      <c r="G38" s="24"/>
      <c r="H38" s="24"/>
    </row>
    <row r="39" spans="1:9">
      <c r="A39" s="24"/>
      <c r="B39" s="24"/>
      <c r="C39" s="24"/>
      <c r="D39" s="24"/>
      <c r="E39" s="24"/>
      <c r="F39" s="24"/>
      <c r="G39" s="24"/>
      <c r="H39" s="24"/>
    </row>
    <row r="40" spans="1:9">
      <c r="A40" s="24"/>
      <c r="B40" s="24"/>
      <c r="C40" s="24"/>
      <c r="D40" s="24"/>
      <c r="E40" s="24"/>
      <c r="F40" s="24"/>
      <c r="G40" s="24"/>
      <c r="H40" s="24"/>
    </row>
    <row r="41" spans="1:9">
      <c r="A41" s="24"/>
      <c r="B41" s="24"/>
      <c r="C41" s="24"/>
      <c r="D41" s="24"/>
      <c r="E41" s="24"/>
      <c r="F41" s="24"/>
      <c r="G41" s="24"/>
      <c r="H41" s="24"/>
    </row>
    <row r="42" spans="1:9">
      <c r="A42" s="24"/>
      <c r="B42" s="24"/>
      <c r="C42" s="24"/>
      <c r="D42" s="24"/>
      <c r="E42" s="24"/>
      <c r="F42" s="24"/>
      <c r="G42" s="24"/>
      <c r="H42" s="24"/>
    </row>
  </sheetData>
  <autoFilter ref="A2:H35">
    <sortState ref="A3:H29">
      <sortCondition ref="C2"/>
    </sortState>
  </autoFilter>
  <mergeCells count="1">
    <mergeCell ref="D1:H1"/>
  </mergeCells>
  <pageMargins left="0.5" right="0.5" top="0.5" bottom="0.5" header="0.3" footer="0.3"/>
  <pageSetup paperSize="5"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 COVER</vt:lpstr>
      <vt:lpstr>2 - NOTES </vt:lpstr>
      <vt:lpstr>3 - PPC AWARD</vt:lpstr>
      <vt:lpstr>4 - PPR AWARD</vt:lpstr>
      <vt:lpstr>5 - OVERALL %s BY HOSPITAL</vt:lpstr>
      <vt:lpstr>6 - IP_MCO and FFS %</vt:lpstr>
    </vt:vector>
  </TitlesOfParts>
  <Company>HHSC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Ferrara</dc:creator>
  <cp:lastModifiedBy>jdoan01</cp:lastModifiedBy>
  <cp:lastPrinted>2016-12-05T17:31:58Z</cp:lastPrinted>
  <dcterms:created xsi:type="dcterms:W3CDTF">2015-05-28T15:10:55Z</dcterms:created>
  <dcterms:modified xsi:type="dcterms:W3CDTF">2016-12-06T18:10:59Z</dcterms:modified>
</cp:coreProperties>
</file>